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ДНЗ № 115\"/>
    </mc:Choice>
  </mc:AlternateContent>
  <bookViews>
    <workbookView xWindow="0" yWindow="465" windowWidth="28800" windowHeight="16260" firstSheet="8" activeTab="8"/>
  </bookViews>
  <sheets>
    <sheet name="витрати 01.01.2016-30.06.2017" sheetId="1" state="hidden" r:id="rId1"/>
    <sheet name="Благодійна допомога" sheetId="2" r:id="rId2"/>
    <sheet name="витрати 01.07.2016-31.10.17" sheetId="4" state="hidden" r:id="rId3"/>
    <sheet name="адмін витрати" sheetId="6" r:id="rId4"/>
    <sheet name="Господарчі витр." sheetId="7" r:id="rId5"/>
    <sheet name="Лист2" sheetId="17" r:id="rId6"/>
    <sheet name="Лист3" sheetId="18" r:id="rId7"/>
    <sheet name="Лист4" sheetId="19" r:id="rId8"/>
    <sheet name="БФ 2018" sheetId="20" r:id="rId9"/>
    <sheet name="БМР мат. комп." sheetId="14" r:id="rId10"/>
    <sheet name="БФ 2017 разом" sheetId="13" r:id="rId11"/>
    <sheet name="ГВ 2" sheetId="15" r:id="rId12"/>
    <sheet name="Наповн. ігрових зон" sheetId="8" r:id="rId13"/>
    <sheet name="Дидакт. розв. забезп." sheetId="9" r:id="rId14"/>
    <sheet name="Розважальні заходи" sheetId="10" r:id="rId15"/>
    <sheet name="ВИТРАТИ на 2017" sheetId="12" r:id="rId16"/>
  </sheets>
  <definedNames>
    <definedName name="_xlnm._FilterDatabase" localSheetId="4" hidden="1">'Господарчі витр.'!$A$2:$I$75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50" i="20"/>
  <c r="B58" i="20"/>
  <c r="I4" i="20"/>
  <c r="I24" i="20"/>
  <c r="I50" i="20"/>
  <c r="H4" i="20"/>
  <c r="H50" i="20"/>
  <c r="G4" i="20"/>
  <c r="G50" i="20"/>
  <c r="F4" i="20"/>
  <c r="F50" i="20"/>
  <c r="E4" i="20"/>
  <c r="E50" i="20"/>
  <c r="D4" i="20"/>
  <c r="D5" i="20"/>
  <c r="D9" i="20"/>
  <c r="D11" i="20"/>
  <c r="D25" i="20"/>
  <c r="D50" i="20"/>
  <c r="C4" i="20"/>
  <c r="C26" i="20"/>
  <c r="C27" i="20"/>
  <c r="C50" i="20"/>
  <c r="B40" i="20"/>
  <c r="B20" i="9"/>
  <c r="I4" i="15"/>
  <c r="B4" i="15"/>
  <c r="D5" i="15"/>
  <c r="E5" i="15"/>
  <c r="F5" i="15"/>
  <c r="G5" i="15"/>
  <c r="H5" i="15"/>
  <c r="I5" i="15"/>
  <c r="B5" i="15"/>
  <c r="B6" i="15"/>
  <c r="C7" i="15"/>
  <c r="H7" i="15"/>
  <c r="B7" i="15"/>
  <c r="B8" i="15"/>
  <c r="B9" i="15"/>
  <c r="B10" i="15"/>
  <c r="I11" i="15"/>
  <c r="B11" i="15"/>
  <c r="C12" i="15"/>
  <c r="B12" i="15"/>
  <c r="B14" i="15"/>
  <c r="B16" i="15"/>
  <c r="C17" i="15"/>
  <c r="H17" i="15"/>
  <c r="B17" i="15"/>
  <c r="C19" i="15"/>
  <c r="D19" i="15"/>
  <c r="E19" i="15"/>
  <c r="F19" i="15"/>
  <c r="G19" i="15"/>
  <c r="H19" i="15"/>
  <c r="B19" i="15"/>
  <c r="B20" i="15"/>
  <c r="B21" i="15"/>
  <c r="C22" i="15"/>
  <c r="D22" i="15"/>
  <c r="F22" i="15"/>
  <c r="G22" i="15"/>
  <c r="H22" i="15"/>
  <c r="I22" i="15"/>
  <c r="B22" i="15"/>
  <c r="C23" i="15"/>
  <c r="I23" i="15"/>
  <c r="B23" i="15"/>
  <c r="C24" i="15"/>
  <c r="B24" i="15"/>
  <c r="B25" i="15"/>
  <c r="B26" i="15"/>
  <c r="B27" i="15"/>
  <c r="B28" i="15"/>
  <c r="B29" i="15"/>
  <c r="B30" i="15"/>
  <c r="B31" i="15"/>
  <c r="B32" i="15"/>
  <c r="B33" i="15"/>
  <c r="C34" i="15"/>
  <c r="B34" i="15"/>
  <c r="B35" i="15"/>
  <c r="B36" i="15"/>
  <c r="B37" i="15"/>
  <c r="F38" i="15"/>
  <c r="G38" i="15"/>
  <c r="B38" i="15"/>
  <c r="B39" i="15"/>
  <c r="B40" i="15"/>
  <c r="C41" i="15"/>
  <c r="E41" i="15"/>
  <c r="G41" i="15"/>
  <c r="H41" i="15"/>
  <c r="B41" i="15"/>
  <c r="B42" i="15"/>
  <c r="B43" i="15"/>
  <c r="B44" i="15"/>
  <c r="B45" i="15"/>
  <c r="B46" i="15"/>
  <c r="C47" i="15"/>
  <c r="H47" i="15"/>
  <c r="B47" i="15"/>
  <c r="C48" i="15"/>
  <c r="B48" i="15"/>
  <c r="B49" i="15"/>
  <c r="B50" i="15"/>
  <c r="B51" i="15"/>
  <c r="B52" i="15"/>
  <c r="B53" i="15"/>
  <c r="C54" i="15"/>
  <c r="E54" i="15"/>
  <c r="H54" i="15"/>
  <c r="B54" i="15"/>
  <c r="H55" i="15"/>
  <c r="B55" i="15"/>
  <c r="C56" i="15"/>
  <c r="E56" i="15"/>
  <c r="F56" i="15"/>
  <c r="G56" i="15"/>
  <c r="H56" i="15"/>
  <c r="I56" i="15"/>
  <c r="B56" i="15"/>
  <c r="C57" i="15"/>
  <c r="D57" i="15"/>
  <c r="I57" i="15"/>
  <c r="B57" i="15"/>
  <c r="C58" i="15"/>
  <c r="F58" i="15"/>
  <c r="H58" i="15"/>
  <c r="B58" i="15"/>
  <c r="H59" i="15"/>
  <c r="B59" i="15"/>
  <c r="B60" i="15"/>
  <c r="C61" i="15"/>
  <c r="B61" i="15"/>
  <c r="C62" i="15"/>
  <c r="H62" i="15"/>
  <c r="I62" i="15"/>
  <c r="B62" i="15"/>
  <c r="B63" i="15"/>
  <c r="E64" i="15"/>
  <c r="B64" i="15"/>
  <c r="B65" i="15"/>
  <c r="B66" i="15"/>
  <c r="B67" i="15"/>
  <c r="B68" i="15"/>
  <c r="B69" i="15"/>
  <c r="B70" i="15"/>
  <c r="B71" i="15"/>
  <c r="B72" i="15"/>
  <c r="F73" i="15"/>
  <c r="H73" i="15"/>
  <c r="B73" i="15"/>
  <c r="B74" i="15"/>
  <c r="B76" i="15"/>
  <c r="I13" i="15"/>
  <c r="H13" i="15"/>
  <c r="G13" i="15"/>
  <c r="F13" i="15"/>
  <c r="D13" i="15"/>
  <c r="C13" i="15"/>
  <c r="I4" i="14"/>
  <c r="I21" i="14"/>
  <c r="I38" i="14"/>
  <c r="H4" i="14"/>
  <c r="H38" i="14"/>
  <c r="G4" i="14"/>
  <c r="G38" i="14"/>
  <c r="F4" i="14"/>
  <c r="F38" i="14"/>
  <c r="E4" i="14"/>
  <c r="E38" i="14"/>
  <c r="D4" i="14"/>
  <c r="D5" i="14"/>
  <c r="D8" i="14"/>
  <c r="D10" i="14"/>
  <c r="D22" i="14"/>
  <c r="D38" i="14"/>
  <c r="C4" i="14"/>
  <c r="C23" i="14"/>
  <c r="C24" i="14"/>
  <c r="C38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7" i="14"/>
  <c r="B38" i="14"/>
  <c r="B9" i="13"/>
  <c r="C22" i="7"/>
  <c r="D22" i="7"/>
  <c r="F22" i="7"/>
  <c r="G22" i="7"/>
  <c r="H22" i="7"/>
  <c r="I22" i="7"/>
  <c r="B22" i="7"/>
  <c r="C23" i="7"/>
  <c r="I23" i="7"/>
  <c r="B23" i="7"/>
  <c r="C24" i="7"/>
  <c r="B24" i="7"/>
  <c r="B25" i="7"/>
  <c r="B26" i="7"/>
  <c r="B27" i="7"/>
  <c r="B28" i="7"/>
  <c r="B29" i="7"/>
  <c r="B30" i="7"/>
  <c r="B31" i="7"/>
  <c r="B32" i="7"/>
  <c r="B33" i="7"/>
  <c r="C34" i="7"/>
  <c r="B34" i="7"/>
  <c r="B35" i="7"/>
  <c r="B36" i="7"/>
  <c r="B37" i="7"/>
  <c r="F38" i="7"/>
  <c r="G38" i="7"/>
  <c r="B38" i="7"/>
  <c r="B40" i="7"/>
  <c r="C41" i="7"/>
  <c r="E41" i="7"/>
  <c r="G41" i="7"/>
  <c r="H41" i="7"/>
  <c r="B41" i="7"/>
  <c r="B42" i="7"/>
  <c r="B43" i="7"/>
  <c r="B44" i="7"/>
  <c r="B45" i="7"/>
  <c r="B46" i="7"/>
  <c r="C47" i="7"/>
  <c r="H47" i="7"/>
  <c r="B47" i="7"/>
  <c r="C48" i="7"/>
  <c r="B48" i="7"/>
  <c r="B49" i="7"/>
  <c r="B50" i="7"/>
  <c r="I4" i="7"/>
  <c r="B4" i="7"/>
  <c r="D5" i="7"/>
  <c r="E5" i="7"/>
  <c r="F5" i="7"/>
  <c r="G5" i="7"/>
  <c r="H5" i="7"/>
  <c r="I5" i="7"/>
  <c r="B5" i="7"/>
  <c r="B6" i="7"/>
  <c r="C7" i="7"/>
  <c r="H7" i="7"/>
  <c r="B7" i="7"/>
  <c r="B8" i="7"/>
  <c r="B9" i="7"/>
  <c r="B10" i="7"/>
  <c r="I11" i="7"/>
  <c r="B11" i="7"/>
  <c r="C12" i="7"/>
  <c r="B12" i="7"/>
  <c r="B14" i="7"/>
  <c r="B16" i="7"/>
  <c r="C17" i="7"/>
  <c r="H17" i="7"/>
  <c r="B17" i="7"/>
  <c r="C19" i="7"/>
  <c r="D19" i="7"/>
  <c r="E19" i="7"/>
  <c r="F19" i="7"/>
  <c r="G19" i="7"/>
  <c r="H19" i="7"/>
  <c r="B19" i="7"/>
  <c r="B20" i="7"/>
  <c r="B21" i="7"/>
  <c r="B39" i="7"/>
  <c r="B51" i="7"/>
  <c r="B52" i="7"/>
  <c r="B53" i="7"/>
  <c r="C54" i="7"/>
  <c r="E54" i="7"/>
  <c r="H54" i="7"/>
  <c r="B54" i="7"/>
  <c r="H55" i="7"/>
  <c r="B55" i="7"/>
  <c r="C56" i="7"/>
  <c r="E56" i="7"/>
  <c r="F56" i="7"/>
  <c r="G56" i="7"/>
  <c r="H56" i="7"/>
  <c r="I56" i="7"/>
  <c r="B56" i="7"/>
  <c r="C57" i="7"/>
  <c r="D57" i="7"/>
  <c r="I57" i="7"/>
  <c r="B57" i="7"/>
  <c r="C58" i="7"/>
  <c r="F58" i="7"/>
  <c r="H58" i="7"/>
  <c r="B58" i="7"/>
  <c r="H59" i="7"/>
  <c r="B59" i="7"/>
  <c r="B60" i="7"/>
  <c r="C61" i="7"/>
  <c r="B61" i="7"/>
  <c r="C62" i="7"/>
  <c r="H62" i="7"/>
  <c r="I62" i="7"/>
  <c r="B62" i="7"/>
  <c r="B63" i="7"/>
  <c r="E64" i="7"/>
  <c r="B64" i="7"/>
  <c r="B65" i="7"/>
  <c r="B66" i="7"/>
  <c r="B67" i="7"/>
  <c r="B68" i="7"/>
  <c r="B69" i="7"/>
  <c r="B70" i="7"/>
  <c r="B71" i="7"/>
  <c r="B72" i="7"/>
  <c r="F73" i="7"/>
  <c r="H73" i="7"/>
  <c r="B73" i="7"/>
  <c r="B74" i="7"/>
  <c r="B75" i="7"/>
  <c r="I9" i="13"/>
  <c r="H9" i="13"/>
  <c r="G9" i="13"/>
  <c r="F9" i="13"/>
  <c r="E9" i="13"/>
  <c r="D9" i="13"/>
  <c r="C9" i="13"/>
  <c r="C4" i="10"/>
  <c r="H4" i="10"/>
  <c r="B4" i="10"/>
  <c r="H5" i="10"/>
  <c r="B5" i="10"/>
  <c r="I6" i="10"/>
  <c r="B6" i="10"/>
  <c r="D7" i="10"/>
  <c r="B7" i="10"/>
  <c r="C9" i="10"/>
  <c r="I9" i="10"/>
  <c r="B9" i="10"/>
  <c r="B10" i="10"/>
  <c r="C11" i="10"/>
  <c r="D11" i="10"/>
  <c r="G11" i="10"/>
  <c r="I11" i="10"/>
  <c r="B11" i="10"/>
  <c r="D12" i="10"/>
  <c r="G12" i="10"/>
  <c r="H12" i="10"/>
  <c r="B12" i="10"/>
  <c r="C13" i="10"/>
  <c r="B13" i="10"/>
  <c r="B14" i="10"/>
  <c r="B15" i="10"/>
  <c r="C16" i="10"/>
  <c r="H16" i="10"/>
  <c r="B16" i="10"/>
  <c r="C17" i="10"/>
  <c r="H17" i="10"/>
  <c r="I17" i="10"/>
  <c r="B17" i="10"/>
  <c r="B18" i="10"/>
  <c r="B21" i="10"/>
  <c r="B22" i="10"/>
  <c r="B28" i="10"/>
  <c r="B29" i="10"/>
  <c r="B30" i="10"/>
  <c r="H10" i="9"/>
  <c r="B10" i="9"/>
  <c r="B11" i="9"/>
  <c r="I5" i="12"/>
  <c r="I12" i="12"/>
  <c r="I18" i="12"/>
  <c r="I19" i="12"/>
  <c r="I22" i="12"/>
  <c r="I29" i="12"/>
  <c r="I34" i="12"/>
  <c r="I39" i="12"/>
  <c r="I46" i="12"/>
  <c r="I48" i="12"/>
  <c r="I49" i="12"/>
  <c r="I53" i="12"/>
  <c r="I63" i="12"/>
  <c r="I69" i="12"/>
  <c r="I74" i="12"/>
  <c r="I109" i="12"/>
  <c r="I110" i="12"/>
  <c r="I115" i="12"/>
  <c r="I119" i="12"/>
  <c r="I120" i="12"/>
  <c r="I150" i="12"/>
  <c r="I161" i="12"/>
  <c r="H7" i="12"/>
  <c r="H12" i="12"/>
  <c r="H14" i="12"/>
  <c r="H15" i="12"/>
  <c r="H17" i="12"/>
  <c r="H19" i="12"/>
  <c r="H25" i="12"/>
  <c r="H29" i="12"/>
  <c r="H34" i="12"/>
  <c r="H37" i="12"/>
  <c r="H43" i="12"/>
  <c r="H48" i="12"/>
  <c r="H69" i="12"/>
  <c r="H75" i="12"/>
  <c r="H81" i="12"/>
  <c r="H93" i="12"/>
  <c r="H104" i="12"/>
  <c r="H106" i="12"/>
  <c r="H107" i="12"/>
  <c r="H109" i="12"/>
  <c r="H111" i="12"/>
  <c r="H112" i="12"/>
  <c r="H115" i="12"/>
  <c r="H119" i="12"/>
  <c r="H120" i="12"/>
  <c r="H126" i="12"/>
  <c r="H147" i="12"/>
  <c r="H150" i="12"/>
  <c r="H161" i="12"/>
  <c r="G19" i="12"/>
  <c r="G29" i="12"/>
  <c r="G43" i="12"/>
  <c r="G48" i="12"/>
  <c r="G74" i="12"/>
  <c r="G75" i="12"/>
  <c r="G79" i="12"/>
  <c r="G81" i="12"/>
  <c r="G109" i="12"/>
  <c r="G120" i="12"/>
  <c r="G150" i="12"/>
  <c r="G161" i="12"/>
  <c r="F12" i="12"/>
  <c r="F19" i="12"/>
  <c r="F29" i="12"/>
  <c r="F43" i="12"/>
  <c r="F48" i="12"/>
  <c r="F79" i="12"/>
  <c r="F109" i="12"/>
  <c r="F111" i="12"/>
  <c r="F120" i="12"/>
  <c r="F147" i="12"/>
  <c r="F150" i="12"/>
  <c r="F161" i="12"/>
  <c r="E12" i="12"/>
  <c r="E19" i="12"/>
  <c r="E39" i="12"/>
  <c r="E43" i="12"/>
  <c r="E69" i="12"/>
  <c r="E81" i="12"/>
  <c r="E106" i="12"/>
  <c r="E109" i="12"/>
  <c r="E121" i="12"/>
  <c r="E150" i="12"/>
  <c r="E161" i="12"/>
  <c r="D12" i="12"/>
  <c r="D19" i="12"/>
  <c r="D24" i="12"/>
  <c r="D29" i="12"/>
  <c r="D38" i="12"/>
  <c r="D42" i="12"/>
  <c r="D43" i="12"/>
  <c r="D48" i="12"/>
  <c r="D74" i="12"/>
  <c r="D75" i="12"/>
  <c r="D76" i="12"/>
  <c r="D110" i="12"/>
  <c r="D145" i="12"/>
  <c r="D150" i="12"/>
  <c r="D161" i="12"/>
  <c r="C7" i="12"/>
  <c r="C12" i="12"/>
  <c r="C14" i="12"/>
  <c r="C15" i="12"/>
  <c r="C23" i="12"/>
  <c r="C25" i="12"/>
  <c r="C27" i="12"/>
  <c r="C28" i="12"/>
  <c r="C29" i="12"/>
  <c r="C36" i="12"/>
  <c r="C37" i="12"/>
  <c r="C39" i="12"/>
  <c r="C40" i="12"/>
  <c r="C43" i="12"/>
  <c r="C48" i="12"/>
  <c r="C49" i="12"/>
  <c r="C50" i="12"/>
  <c r="C53" i="12"/>
  <c r="C58" i="12"/>
  <c r="C63" i="12"/>
  <c r="C67" i="12"/>
  <c r="C69" i="12"/>
  <c r="C71" i="12"/>
  <c r="C74" i="12"/>
  <c r="C78" i="12"/>
  <c r="C81" i="12"/>
  <c r="C89" i="12"/>
  <c r="C93" i="12"/>
  <c r="C94" i="12"/>
  <c r="C104" i="12"/>
  <c r="C106" i="12"/>
  <c r="C108" i="12"/>
  <c r="C109" i="12"/>
  <c r="C110" i="12"/>
  <c r="C111" i="12"/>
  <c r="C114" i="12"/>
  <c r="C115" i="12"/>
  <c r="C118" i="12"/>
  <c r="C119" i="12"/>
  <c r="C120" i="12"/>
  <c r="C122" i="12"/>
  <c r="C142" i="12"/>
  <c r="C150" i="12"/>
  <c r="C16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60" i="12"/>
  <c r="B161" i="12"/>
  <c r="C9" i="9"/>
  <c r="B9" i="9"/>
  <c r="C18" i="9"/>
  <c r="B18" i="9"/>
  <c r="B8" i="9"/>
  <c r="I30" i="10"/>
  <c r="H30" i="10"/>
  <c r="G30" i="10"/>
  <c r="F30" i="10"/>
  <c r="E30" i="10"/>
  <c r="D30" i="10"/>
  <c r="C19" i="10"/>
  <c r="C30" i="10"/>
  <c r="I7" i="9"/>
  <c r="I20" i="9"/>
  <c r="H19" i="9"/>
  <c r="H7" i="9"/>
  <c r="H20" i="9"/>
  <c r="G20" i="9"/>
  <c r="F20" i="9"/>
  <c r="E20" i="9"/>
  <c r="D20" i="9"/>
  <c r="C19" i="9"/>
  <c r="C20" i="9"/>
  <c r="B4" i="9"/>
  <c r="B5" i="9"/>
  <c r="B6" i="9"/>
  <c r="B7" i="9"/>
  <c r="B17" i="9"/>
  <c r="I7" i="8"/>
  <c r="I8" i="8"/>
  <c r="I10" i="8"/>
  <c r="I20" i="8"/>
  <c r="H10" i="8"/>
  <c r="H20" i="8"/>
  <c r="G20" i="8"/>
  <c r="F20" i="8"/>
  <c r="E7" i="8"/>
  <c r="E10" i="8"/>
  <c r="E20" i="8"/>
  <c r="D20" i="8"/>
  <c r="C5" i="8"/>
  <c r="C6" i="8"/>
  <c r="C7" i="8"/>
  <c r="C8" i="8"/>
  <c r="C10" i="8"/>
  <c r="C20" i="8"/>
  <c r="B4" i="8"/>
  <c r="B5" i="8"/>
  <c r="B6" i="8"/>
  <c r="B7" i="8"/>
  <c r="B8" i="8"/>
  <c r="B9" i="8"/>
  <c r="B10" i="8"/>
  <c r="B11" i="8"/>
  <c r="B12" i="8"/>
  <c r="B13" i="8"/>
  <c r="B19" i="8"/>
  <c r="B20" i="8"/>
  <c r="E5" i="6"/>
  <c r="E6" i="6"/>
  <c r="E7" i="6"/>
  <c r="E8" i="6"/>
  <c r="E9" i="6"/>
  <c r="E10" i="6"/>
  <c r="B11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B182" i="6"/>
  <c r="E182" i="6"/>
  <c r="B183" i="6"/>
  <c r="E183" i="6"/>
  <c r="E4" i="6"/>
  <c r="E184" i="6"/>
  <c r="C13" i="7"/>
  <c r="I13" i="7"/>
  <c r="H13" i="7"/>
  <c r="G13" i="7"/>
  <c r="F13" i="7"/>
  <c r="D13" i="7"/>
  <c r="B10" i="4"/>
  <c r="B15" i="4"/>
  <c r="B17" i="4"/>
  <c r="B19" i="4"/>
  <c r="B21" i="4"/>
  <c r="B26" i="4"/>
  <c r="B27" i="4"/>
  <c r="B28" i="4"/>
  <c r="B29" i="4"/>
  <c r="B30" i="4"/>
  <c r="B34" i="4"/>
  <c r="B38" i="4"/>
  <c r="B41" i="4"/>
  <c r="B44" i="4"/>
  <c r="B47" i="4"/>
  <c r="B52" i="4"/>
  <c r="B54" i="4"/>
  <c r="B63" i="4"/>
  <c r="B68" i="4"/>
  <c r="B69" i="4"/>
  <c r="B72" i="4"/>
  <c r="B73" i="4"/>
  <c r="B74" i="4"/>
  <c r="B76" i="4"/>
  <c r="B79" i="4"/>
  <c r="B80" i="4"/>
  <c r="B81" i="4"/>
  <c r="B82" i="4"/>
  <c r="B85" i="4"/>
  <c r="B86" i="4"/>
  <c r="B90" i="4"/>
  <c r="B91" i="4"/>
  <c r="B94" i="4"/>
  <c r="B97" i="4"/>
  <c r="B105" i="4"/>
  <c r="B106" i="4"/>
  <c r="B113" i="4"/>
  <c r="B114" i="4"/>
  <c r="B119" i="4"/>
  <c r="B123" i="4"/>
  <c r="B127" i="4"/>
  <c r="B128" i="4"/>
  <c r="B129" i="4"/>
  <c r="B134" i="4"/>
  <c r="B136" i="4"/>
  <c r="B139" i="4"/>
  <c r="B148" i="4"/>
  <c r="B154" i="4"/>
  <c r="B160" i="4"/>
  <c r="B165" i="4"/>
  <c r="B166" i="4"/>
  <c r="B168" i="4"/>
  <c r="B171" i="4"/>
  <c r="B172" i="4"/>
  <c r="B173" i="4"/>
  <c r="B174" i="4"/>
  <c r="B176" i="4"/>
  <c r="B178" i="4"/>
  <c r="B180" i="4"/>
  <c r="B183" i="4"/>
  <c r="B184" i="4"/>
  <c r="B186" i="4"/>
  <c r="B187" i="4"/>
  <c r="B190" i="4"/>
  <c r="B191" i="4"/>
  <c r="B193" i="4"/>
  <c r="B194" i="4"/>
  <c r="B200" i="4"/>
  <c r="B202" i="4"/>
  <c r="B203" i="4"/>
  <c r="B204" i="4"/>
  <c r="B206" i="4"/>
  <c r="B208" i="4"/>
  <c r="B210" i="4"/>
  <c r="B211" i="4"/>
  <c r="B48" i="4"/>
  <c r="B110" i="4"/>
  <c r="B4" i="4"/>
  <c r="B87" i="4"/>
  <c r="B133" i="4"/>
  <c r="B70" i="4"/>
  <c r="B11" i="4"/>
  <c r="B25" i="4"/>
  <c r="B185" i="4"/>
  <c r="B135" i="4"/>
  <c r="B207" i="4"/>
  <c r="B93" i="4"/>
  <c r="B182" i="4"/>
  <c r="B109" i="4"/>
  <c r="B98" i="4"/>
  <c r="B102" i="4"/>
  <c r="B177" i="4"/>
  <c r="B108" i="4"/>
  <c r="B23" i="4"/>
  <c r="B170" i="4"/>
  <c r="B112" i="4"/>
  <c r="B179" i="4"/>
  <c r="B188" i="4"/>
  <c r="B198" i="4"/>
  <c r="B14" i="4"/>
  <c r="B57" i="4"/>
  <c r="B140" i="4"/>
  <c r="B84" i="4"/>
  <c r="B62" i="4"/>
  <c r="B199" i="4"/>
  <c r="B152" i="4"/>
  <c r="B61" i="4"/>
  <c r="B209" i="4"/>
  <c r="B146" i="4"/>
  <c r="B45" i="4"/>
  <c r="B111" i="4"/>
  <c r="B196" i="4"/>
  <c r="B175" i="4"/>
  <c r="B126" i="4"/>
  <c r="B131" i="4"/>
  <c r="B60" i="4"/>
  <c r="B169" i="4"/>
  <c r="B64" i="4"/>
  <c r="B9" i="4"/>
  <c r="B42" i="4"/>
  <c r="B46" i="4"/>
  <c r="B124" i="4"/>
  <c r="B120" i="4"/>
  <c r="B75" i="4"/>
  <c r="B162" i="4"/>
  <c r="B78" i="4"/>
  <c r="B192" i="4"/>
  <c r="B130" i="4"/>
  <c r="B3" i="4"/>
  <c r="B88" i="4"/>
  <c r="B35" i="4"/>
  <c r="B161" i="4"/>
  <c r="B167" i="4"/>
  <c r="B6" i="4"/>
  <c r="B5" i="4"/>
  <c r="B3" i="6"/>
  <c r="C3" i="6"/>
  <c r="D3" i="6"/>
  <c r="F59" i="4"/>
  <c r="F65" i="4"/>
  <c r="F201" i="4"/>
  <c r="F157" i="4"/>
  <c r="F22" i="4"/>
  <c r="F104" i="4"/>
  <c r="F107" i="4"/>
  <c r="F99" i="4"/>
  <c r="F100" i="4"/>
  <c r="F143" i="4"/>
  <c r="F39" i="4"/>
  <c r="D201" i="4"/>
  <c r="E65" i="4"/>
  <c r="E145" i="4"/>
  <c r="E104" i="4"/>
  <c r="E157" i="4"/>
  <c r="E143" i="4"/>
  <c r="E39" i="4"/>
  <c r="E22" i="4"/>
  <c r="E13" i="4"/>
  <c r="E201" i="4"/>
  <c r="E59" i="4"/>
  <c r="E197" i="4"/>
  <c r="D141" i="4"/>
  <c r="D55" i="4"/>
  <c r="D59" i="4"/>
  <c r="D22" i="4"/>
  <c r="D92" i="4"/>
  <c r="G92" i="4"/>
  <c r="B92" i="4"/>
  <c r="D13" i="4"/>
  <c r="D107" i="4"/>
  <c r="G107" i="4"/>
  <c r="B107" i="4"/>
  <c r="D143" i="4"/>
  <c r="D158" i="4"/>
  <c r="B158" i="4"/>
  <c r="G205" i="4"/>
  <c r="B205" i="4"/>
  <c r="G201" i="4"/>
  <c r="G197" i="4"/>
  <c r="G189" i="4"/>
  <c r="B189" i="4"/>
  <c r="G181" i="4"/>
  <c r="B181" i="4"/>
  <c r="G164" i="4"/>
  <c r="B164" i="4"/>
  <c r="G163" i="4"/>
  <c r="B163" i="4"/>
  <c r="G159" i="4"/>
  <c r="B159" i="4"/>
  <c r="G157" i="4"/>
  <c r="G156" i="4"/>
  <c r="B156" i="4"/>
  <c r="G155" i="4"/>
  <c r="B155" i="4"/>
  <c r="G153" i="4"/>
  <c r="B153" i="4"/>
  <c r="G151" i="4"/>
  <c r="B151" i="4"/>
  <c r="G150" i="4"/>
  <c r="B150" i="4"/>
  <c r="G149" i="4"/>
  <c r="B149" i="4"/>
  <c r="G147" i="4"/>
  <c r="B147" i="4"/>
  <c r="G145" i="4"/>
  <c r="G144" i="4"/>
  <c r="G143" i="4"/>
  <c r="G142" i="4"/>
  <c r="B142" i="4"/>
  <c r="G141" i="4"/>
  <c r="G138" i="4"/>
  <c r="B138" i="4"/>
  <c r="G137" i="4"/>
  <c r="B137" i="4"/>
  <c r="G132" i="4"/>
  <c r="B132" i="4"/>
  <c r="G125" i="4"/>
  <c r="B125" i="4"/>
  <c r="G122" i="4"/>
  <c r="B122" i="4"/>
  <c r="G121" i="4"/>
  <c r="B121" i="4"/>
  <c r="G118" i="4"/>
  <c r="B118" i="4"/>
  <c r="G117" i="4"/>
  <c r="B117" i="4"/>
  <c r="G116" i="4"/>
  <c r="B116" i="4"/>
  <c r="G115" i="4"/>
  <c r="B115" i="4"/>
  <c r="G104" i="4"/>
  <c r="G103" i="4"/>
  <c r="B103" i="4"/>
  <c r="G99" i="4"/>
  <c r="G96" i="4"/>
  <c r="B96" i="4"/>
  <c r="G95" i="4"/>
  <c r="B95" i="4"/>
  <c r="G89" i="4"/>
  <c r="B89" i="4"/>
  <c r="G83" i="4"/>
  <c r="B83" i="4"/>
  <c r="G77" i="4"/>
  <c r="B77" i="4"/>
  <c r="G71" i="4"/>
  <c r="B71" i="4"/>
  <c r="G67" i="4"/>
  <c r="B67" i="4"/>
  <c r="G66" i="4"/>
  <c r="B66" i="4"/>
  <c r="G65" i="4"/>
  <c r="G59" i="4"/>
  <c r="G56" i="4"/>
  <c r="B56" i="4"/>
  <c r="G55" i="4"/>
  <c r="G51" i="4"/>
  <c r="B51" i="4"/>
  <c r="G50" i="4"/>
  <c r="B50" i="4"/>
  <c r="G49" i="4"/>
  <c r="B49" i="4"/>
  <c r="G43" i="4"/>
  <c r="B43" i="4"/>
  <c r="G40" i="4"/>
  <c r="B40" i="4"/>
  <c r="G39" i="4"/>
  <c r="G37" i="4"/>
  <c r="B37" i="4"/>
  <c r="G36" i="4"/>
  <c r="B36" i="4"/>
  <c r="G33" i="4"/>
  <c r="B33" i="4"/>
  <c r="G31" i="4"/>
  <c r="B31" i="4"/>
  <c r="G24" i="4"/>
  <c r="B24" i="4"/>
  <c r="G20" i="4"/>
  <c r="B20" i="4"/>
  <c r="G18" i="4"/>
  <c r="B18" i="4"/>
  <c r="G16" i="4"/>
  <c r="B16" i="4"/>
  <c r="G13" i="4"/>
  <c r="G12" i="4"/>
  <c r="B12" i="4"/>
  <c r="G8" i="4"/>
  <c r="B8" i="4"/>
  <c r="G7" i="4"/>
  <c r="C201" i="4"/>
  <c r="B201" i="4"/>
  <c r="C13" i="4"/>
  <c r="C32" i="4"/>
  <c r="B32" i="4"/>
  <c r="C100" i="4"/>
  <c r="B100" i="4"/>
  <c r="C144" i="4"/>
  <c r="B144" i="4"/>
  <c r="C22" i="4"/>
  <c r="B22" i="4"/>
  <c r="C99" i="4"/>
  <c r="B99" i="4"/>
  <c r="C59" i="4"/>
  <c r="C65" i="4"/>
  <c r="B65" i="4"/>
  <c r="C39" i="4"/>
  <c r="C53" i="4"/>
  <c r="B53" i="4"/>
  <c r="C101" i="4"/>
  <c r="B101" i="4"/>
  <c r="C195" i="4"/>
  <c r="B195" i="4"/>
  <c r="C58" i="4"/>
  <c r="B58" i="4"/>
  <c r="B217" i="4"/>
  <c r="B25" i="2"/>
  <c r="B24" i="2"/>
  <c r="B23" i="2"/>
  <c r="B119" i="1"/>
  <c r="B38" i="1"/>
  <c r="B41" i="1"/>
  <c r="B66" i="1"/>
  <c r="B10" i="1"/>
  <c r="B111" i="1"/>
  <c r="B94" i="1"/>
  <c r="B99" i="1"/>
  <c r="B45" i="1"/>
  <c r="B5" i="1"/>
  <c r="B6" i="1"/>
  <c r="B8" i="1"/>
  <c r="B9" i="1"/>
  <c r="B12" i="1"/>
  <c r="B14" i="1"/>
  <c r="B16" i="1"/>
  <c r="B18" i="1"/>
  <c r="B24" i="1"/>
  <c r="B25" i="1"/>
  <c r="B27" i="1"/>
  <c r="B28" i="1"/>
  <c r="B30" i="1"/>
  <c r="B31" i="1"/>
  <c r="B33" i="1"/>
  <c r="B36" i="1"/>
  <c r="B37" i="1"/>
  <c r="B42" i="1"/>
  <c r="B43" i="1"/>
  <c r="B46" i="1"/>
  <c r="B47" i="1"/>
  <c r="B50" i="1"/>
  <c r="B55" i="1"/>
  <c r="B60" i="1"/>
  <c r="B63" i="1"/>
  <c r="B68" i="1"/>
  <c r="B69" i="1"/>
  <c r="B71" i="1"/>
  <c r="B72" i="1"/>
  <c r="B73" i="1"/>
  <c r="B76" i="1"/>
  <c r="B79" i="1"/>
  <c r="B80" i="1"/>
  <c r="B81" i="1"/>
  <c r="B82" i="1"/>
  <c r="B84" i="1"/>
  <c r="B85" i="1"/>
  <c r="B87" i="1"/>
  <c r="B91" i="1"/>
  <c r="B95" i="1"/>
  <c r="B97" i="1"/>
  <c r="B98" i="1"/>
  <c r="B100" i="1"/>
  <c r="B101" i="1"/>
  <c r="B102" i="1"/>
  <c r="B104" i="1"/>
  <c r="B105" i="1"/>
  <c r="B106" i="1"/>
  <c r="B107" i="1"/>
  <c r="B109" i="1"/>
  <c r="B110" i="1"/>
  <c r="B112" i="1"/>
  <c r="B114" i="1"/>
  <c r="B115" i="1"/>
  <c r="B127" i="1"/>
  <c r="B132" i="1"/>
  <c r="B137" i="1"/>
  <c r="B139" i="1"/>
  <c r="B143" i="1"/>
  <c r="B148" i="1"/>
  <c r="B13" i="4"/>
  <c r="C218" i="4"/>
  <c r="B7" i="4"/>
  <c r="G218" i="4"/>
  <c r="B141" i="4"/>
  <c r="E218" i="4"/>
  <c r="B157" i="4"/>
  <c r="B145" i="4"/>
  <c r="B29" i="2"/>
  <c r="B30" i="2"/>
  <c r="B39" i="4"/>
  <c r="B55" i="4"/>
  <c r="B59" i="4"/>
  <c r="B104" i="4"/>
  <c r="B143" i="4"/>
  <c r="B197" i="4"/>
  <c r="B218" i="4"/>
  <c r="D218" i="4"/>
  <c r="F218" i="4"/>
</calcChain>
</file>

<file path=xl/sharedStrings.xml><?xml version="1.0" encoding="utf-8"?>
<sst xmlns="http://schemas.openxmlformats.org/spreadsheetml/2006/main" count="870" uniqueCount="397">
  <si>
    <t>Номенклатура</t>
  </si>
  <si>
    <t>Сумма</t>
  </si>
  <si>
    <t>Миючі заходи, порошки</t>
  </si>
  <si>
    <t>Послуги з охорони</t>
  </si>
  <si>
    <t>Іграшки</t>
  </si>
  <si>
    <t>Хозвитрати</t>
  </si>
  <si>
    <t>Комплектуючі до приладів</t>
  </si>
  <si>
    <t>Проведення театрального заходу</t>
  </si>
  <si>
    <t>Додаткове харчування</t>
  </si>
  <si>
    <t>Розрахунково-касове обслуговування</t>
  </si>
  <si>
    <t>Квіти</t>
  </si>
  <si>
    <t>Пожежна сигнализація</t>
  </si>
  <si>
    <t>Відеозйомка</t>
  </si>
  <si>
    <t>Одноразовий посуд</t>
  </si>
  <si>
    <t>Бахіли, рукавички</t>
  </si>
  <si>
    <t>Повітряні кульки</t>
  </si>
  <si>
    <t>Продукти харчування</t>
  </si>
  <si>
    <t>Обслуговування басейну</t>
  </si>
  <si>
    <t>Кацелярські товари (папір)</t>
  </si>
  <si>
    <t>Пісок</t>
  </si>
  <si>
    <t>Обслуговування вогнегасника</t>
  </si>
  <si>
    <t>Килимки</t>
  </si>
  <si>
    <t>Бухгалтерські послуги</t>
  </si>
  <si>
    <t>Блок живлення</t>
  </si>
  <si>
    <t>Інтернет</t>
  </si>
  <si>
    <t>Послуги зв'язку</t>
  </si>
  <si>
    <t>Ремон холодильника</t>
  </si>
  <si>
    <t>Майнове право</t>
  </si>
  <si>
    <t>Друк банера та буклетів</t>
  </si>
  <si>
    <t>Заготовка для Великодня</t>
  </si>
  <si>
    <t>Бізнес розміщення</t>
  </si>
  <si>
    <t>Навчальні підручники, медичні</t>
  </si>
  <si>
    <t>Будівельні матеріали</t>
  </si>
  <si>
    <t>Послуги доставки</t>
  </si>
  <si>
    <t>Набори для піску</t>
  </si>
  <si>
    <t>Термометр віконний</t>
  </si>
  <si>
    <t>Дитячий транспорт</t>
  </si>
  <si>
    <t>Чайник</t>
  </si>
  <si>
    <t>Кубок нагороди</t>
  </si>
  <si>
    <t>Смарт годинники</t>
  </si>
  <si>
    <t>Вивоз сміття</t>
  </si>
  <si>
    <t>Лего, конструктор</t>
  </si>
  <si>
    <t>Штучні квіти</t>
  </si>
  <si>
    <t>Медикаменти</t>
  </si>
  <si>
    <t>Подарунки на випускні</t>
  </si>
  <si>
    <t>Холодильник</t>
  </si>
  <si>
    <t>Конструкція з банером</t>
  </si>
  <si>
    <t>Оренда реквізиту на випускні</t>
  </si>
  <si>
    <t>Друк реквізиту на випускні</t>
  </si>
  <si>
    <t>Гардини в актовий зал</t>
  </si>
  <si>
    <t>Сертифікати-подарунки на випускні</t>
  </si>
  <si>
    <t>Медалі на свято</t>
  </si>
  <si>
    <t>Гімнастична стрічка</t>
  </si>
  <si>
    <t>Грамоти</t>
  </si>
  <si>
    <t>Відеоспостереження</t>
  </si>
  <si>
    <t>Мясорубка</t>
  </si>
  <si>
    <t>Дитячі меблі</t>
  </si>
  <si>
    <t>Корзинки для іграшок</t>
  </si>
  <si>
    <t>Постіль, подушки, рушники</t>
  </si>
  <si>
    <t>Плівка для малювання</t>
  </si>
  <si>
    <t>Надувні атрибути для басейну</t>
  </si>
  <si>
    <t>Бруківка</t>
  </si>
  <si>
    <t>Пазли</t>
  </si>
  <si>
    <t>Обслуговування кондиціонерів</t>
  </si>
  <si>
    <t>Пошив костюмів</t>
  </si>
  <si>
    <t>Малярні роботи в дитячому садку</t>
  </si>
  <si>
    <t>Рюкзаки</t>
  </si>
  <si>
    <t>Мишки</t>
  </si>
  <si>
    <t>Ремонт принтерів</t>
  </si>
  <si>
    <t>Принтер</t>
  </si>
  <si>
    <t>Чистка коврів</t>
  </si>
  <si>
    <t>Крейда</t>
  </si>
  <si>
    <t>Урна для сміття</t>
  </si>
  <si>
    <t>Дошка для плавання</t>
  </si>
  <si>
    <t>Арка з повітряними шарами</t>
  </si>
  <si>
    <t>Ламінатор</t>
  </si>
  <si>
    <t>Глечик</t>
  </si>
  <si>
    <t>Таця</t>
  </si>
  <si>
    <t>Етикетки</t>
  </si>
  <si>
    <t>Килимки в душові</t>
  </si>
  <si>
    <t>Садовий пилосос</t>
  </si>
  <si>
    <t>Прочищення каналізації</t>
  </si>
  <si>
    <t>Зовнішній накопичувач</t>
  </si>
  <si>
    <t>Дозатори на мило</t>
  </si>
  <si>
    <t>Комфорки</t>
  </si>
  <si>
    <t>Стенд для групи</t>
  </si>
  <si>
    <t>Медичні інстументи</t>
  </si>
  <si>
    <t>Товари для тварин</t>
  </si>
  <si>
    <t>Пилосос</t>
  </si>
  <si>
    <t>Чашки</t>
  </si>
  <si>
    <t>Тарілки для фруктів</t>
  </si>
  <si>
    <t>Баласт електронний</t>
  </si>
  <si>
    <t>Виделки</t>
  </si>
  <si>
    <t>Вішаки в гардеробну</t>
  </si>
  <si>
    <t>Контролер для вхідної калітки</t>
  </si>
  <si>
    <t>Українські рушники</t>
  </si>
  <si>
    <t>Холодильник для фруктів</t>
  </si>
  <si>
    <t>Магнітні картки на вхід</t>
  </si>
  <si>
    <t>Набір знаків та світлофори</t>
  </si>
  <si>
    <t>Налагодження комп'ютерів</t>
  </si>
  <si>
    <t>Діагностика пароконвектомату</t>
  </si>
  <si>
    <t>Ящик для пожертв</t>
  </si>
  <si>
    <t>Реквізит для творчості</t>
  </si>
  <si>
    <t>Ложка розливна</t>
  </si>
  <si>
    <t>Харчові контейнери</t>
  </si>
  <si>
    <t>Термогігрометри</t>
  </si>
  <si>
    <t>Курси адміністрування ПК</t>
  </si>
  <si>
    <t>Папір для упаковки</t>
  </si>
  <si>
    <t>Набори для творчості</t>
  </si>
  <si>
    <t>Зволожуючі повітря</t>
  </si>
  <si>
    <t>Ремонт пароконвектомату</t>
  </si>
  <si>
    <t>Гофроящик канцелярский</t>
  </si>
  <si>
    <t>Годинники настінні</t>
  </si>
  <si>
    <t>Дироколи</t>
  </si>
  <si>
    <t>Флеш-накопичувачі</t>
  </si>
  <si>
    <t>Посуд</t>
  </si>
  <si>
    <t>Інвентар для двору</t>
  </si>
  <si>
    <t>Пряжа</t>
  </si>
  <si>
    <t>Контейнерии для їжі</t>
  </si>
  <si>
    <t>Статуетка Дід Мороз</t>
  </si>
  <si>
    <t>Канат</t>
  </si>
  <si>
    <t>Книги</t>
  </si>
  <si>
    <t>Костюми</t>
  </si>
  <si>
    <t>Світильники</t>
  </si>
  <si>
    <t>Тканини, фурнитура</t>
  </si>
  <si>
    <t>Подарунок</t>
  </si>
  <si>
    <t>Комутатор</t>
  </si>
  <si>
    <t>Відеопосібник</t>
  </si>
  <si>
    <t>Портативна акустика, колонки</t>
  </si>
  <si>
    <t>Тонометр</t>
  </si>
  <si>
    <t>Дезинфекційні заходи</t>
  </si>
  <si>
    <t>Проведення занять, освітні послуги</t>
  </si>
  <si>
    <t>Приладдя для кухні</t>
  </si>
  <si>
    <t>Ремонт кавомашини</t>
  </si>
  <si>
    <t>Заміна радіатора</t>
  </si>
  <si>
    <t xml:space="preserve">Дидактивні іграшки </t>
  </si>
  <si>
    <t>Вивчення англійської мови</t>
  </si>
  <si>
    <t>Шпаківні</t>
  </si>
  <si>
    <t>Матеріал для декорацій та декору</t>
  </si>
  <si>
    <t>Пристрій для прошивки документів</t>
  </si>
  <si>
    <t>Ланч-бокс</t>
  </si>
  <si>
    <t>Сейф</t>
  </si>
  <si>
    <t>Комплектуючі для душа</t>
  </si>
  <si>
    <t>Квітник</t>
  </si>
  <si>
    <t>Заправка картриджу, ремон</t>
  </si>
  <si>
    <t>Ковдри та матраци</t>
  </si>
  <si>
    <t>Постільна білизна</t>
  </si>
  <si>
    <t>Витрати на дитячий садок 01.01.2016-30.06.2017</t>
  </si>
  <si>
    <t>Разом</t>
  </si>
  <si>
    <t>Березень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</si>
  <si>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</si>
  <si>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</si>
  <si>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</si>
  <si>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</si>
  <si>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</si>
  <si>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</si>
  <si>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</si>
  <si>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</si>
  <si>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</si>
  <si>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</si>
  <si>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Квітень</t>
  </si>
  <si>
    <t>Витрати на дитячий садок 01.07.2017-31.10.2017</t>
  </si>
  <si>
    <t>Жорсткий диск</t>
  </si>
  <si>
    <t>Монітор</t>
  </si>
  <si>
    <t>Апаратура для відеоспостереження</t>
  </si>
  <si>
    <t>Кулер</t>
  </si>
  <si>
    <t>Фарба</t>
  </si>
  <si>
    <t>Інструменти для покриття фарбою</t>
  </si>
  <si>
    <t>Змішувач</t>
  </si>
  <si>
    <t>Піддони в ванну</t>
  </si>
  <si>
    <t>Клей для плитки</t>
  </si>
  <si>
    <t>Матеріали для декоративних робіт</t>
  </si>
  <si>
    <t>Матеріали та інструменти для плитки</t>
  </si>
  <si>
    <t>Бойлер</t>
  </si>
  <si>
    <t>Гарнітур для душу</t>
  </si>
  <si>
    <t>Тепла підлога</t>
  </si>
  <si>
    <t>Плитка для підлоги</t>
  </si>
  <si>
    <t>Шафа</t>
  </si>
  <si>
    <t>Ліжко</t>
  </si>
  <si>
    <t>Стіл</t>
  </si>
  <si>
    <t>Маршрутизатор</t>
  </si>
  <si>
    <t>Мат-татами</t>
  </si>
  <si>
    <t>Сливний трап</t>
  </si>
  <si>
    <t>МкФ</t>
  </si>
  <si>
    <t>Встановлення покриття з ФЕМ</t>
  </si>
  <si>
    <t>Рушники</t>
  </si>
  <si>
    <t>Монтажні роботи</t>
  </si>
  <si>
    <t>Вода</t>
  </si>
  <si>
    <t>Декорації для прибудинкової території</t>
  </si>
  <si>
    <t>Спец одяг</t>
  </si>
  <si>
    <t>2016-06.2017</t>
  </si>
  <si>
    <t>Терморегулятор</t>
  </si>
  <si>
    <t>Фуга</t>
  </si>
  <si>
    <t>Вентилятор</t>
  </si>
  <si>
    <t>Інвентар для прибирання</t>
  </si>
  <si>
    <t>Проти комах</t>
  </si>
  <si>
    <t>Подушки для шизлогу</t>
  </si>
  <si>
    <t>Кошик</t>
  </si>
  <si>
    <t>Каналізаційні роботи</t>
  </si>
  <si>
    <t>Футболки</t>
  </si>
  <si>
    <t>Приладдя для унітазу</t>
  </si>
  <si>
    <t>Кавролін</t>
  </si>
  <si>
    <t>Штучна трава</t>
  </si>
  <si>
    <t>Послуги спостереження</t>
  </si>
  <si>
    <t>Екр-рюкзак</t>
  </si>
  <si>
    <t>Модернізація вентиляції</t>
  </si>
  <si>
    <t>Моно жовта</t>
  </si>
  <si>
    <t>Фетр</t>
  </si>
  <si>
    <t>Серветки</t>
  </si>
  <si>
    <t>Органайзер</t>
  </si>
  <si>
    <t>Пелюшки</t>
  </si>
  <si>
    <t>Кабель вита пара</t>
  </si>
  <si>
    <t>Решітка</t>
  </si>
  <si>
    <t>Карточка доступу</t>
  </si>
  <si>
    <t>Блендер</t>
  </si>
  <si>
    <t>Дошка для пластелину</t>
  </si>
  <si>
    <t>Електроконфорка</t>
  </si>
  <si>
    <t>Обслуговування покриття</t>
  </si>
  <si>
    <t>Настройка системи контролю (Зоркий)</t>
  </si>
  <si>
    <t>Компьютер</t>
  </si>
  <si>
    <t>Регулюючі бічні, опори</t>
  </si>
  <si>
    <t>Конвектор</t>
  </si>
  <si>
    <t>Туалетний папір та вологі серветки</t>
  </si>
  <si>
    <t>Парасолька</t>
  </si>
  <si>
    <t>Аквамат</t>
  </si>
  <si>
    <t>Кулька-сота паперова</t>
  </si>
  <si>
    <t>Дитячий віночок</t>
  </si>
  <si>
    <t>Рамка для диплома</t>
  </si>
  <si>
    <t>Ремонт пральної машини</t>
  </si>
  <si>
    <t>Етикетки, наклейки</t>
  </si>
  <si>
    <t>Скотч</t>
  </si>
  <si>
    <t>Поліграфічні послуги</t>
  </si>
  <si>
    <t>Сіль технічна</t>
  </si>
  <si>
    <t>Планшет іграшковий</t>
  </si>
  <si>
    <t>Драбина</t>
  </si>
  <si>
    <t>Слимтекс</t>
  </si>
  <si>
    <t>1 пол</t>
  </si>
  <si>
    <t>Банківське обслуговання</t>
  </si>
  <si>
    <t xml:space="preserve">Подарункові сертифікати </t>
  </si>
  <si>
    <t>Макет розробка наклейок Лондон в  Англійський кабінет</t>
  </si>
  <si>
    <t>Набори Лего, конструктор</t>
  </si>
  <si>
    <t xml:space="preserve">Ліжка в групи </t>
  </si>
  <si>
    <t>Комфорки на кухню</t>
  </si>
  <si>
    <t>Карточки доступу на вхід в ДНЗ</t>
  </si>
  <si>
    <t>Послуги Інтернет</t>
  </si>
  <si>
    <t>Змішувачі в групи та на кухню</t>
  </si>
  <si>
    <t>Еко-рюкзаки подарунки для молодших груп</t>
  </si>
  <si>
    <t>Дошки для пластеліну</t>
  </si>
  <si>
    <t>Дитячі віночки Українські</t>
  </si>
  <si>
    <t>Аналізи  води</t>
  </si>
  <si>
    <t>Бізнес розміщення Robota.ua</t>
  </si>
  <si>
    <t>Блендер на кухню</t>
  </si>
  <si>
    <t>Вентилятори (санвузли в басейні)</t>
  </si>
  <si>
    <t>Відеозйомки свят</t>
  </si>
  <si>
    <t>Вінки</t>
  </si>
  <si>
    <t>Питна Вода Аляска</t>
  </si>
  <si>
    <t>Гарнітури  для душу</t>
  </si>
  <si>
    <t>Горшики  для квітів</t>
  </si>
  <si>
    <t xml:space="preserve">Дидактичні іграшки </t>
  </si>
  <si>
    <t>Електроконфорки</t>
  </si>
  <si>
    <t>Заправка картриджів, ремонт ксероксу</t>
  </si>
  <si>
    <t>Електричний Кабель вита пара</t>
  </si>
  <si>
    <t>Книги дитячі</t>
  </si>
  <si>
    <t>Кулери</t>
  </si>
  <si>
    <t>Кулька-сота паперова прикраси</t>
  </si>
  <si>
    <t>Медалі на свята</t>
  </si>
  <si>
    <t>Медикаменти для Медкабінету</t>
  </si>
  <si>
    <t xml:space="preserve">Мишки компютерні </t>
  </si>
  <si>
    <t>Миючі засоби, порошки</t>
  </si>
  <si>
    <t>Модернізація вентиляції (осушувач повітря в басейні)</t>
  </si>
  <si>
    <t>Мозаїка - дитячі іграшки</t>
  </si>
  <si>
    <t>Стрічка Моно жовта</t>
  </si>
  <si>
    <t xml:space="preserve">Монтажні роботи </t>
  </si>
  <si>
    <t>Меблі</t>
  </si>
  <si>
    <t>Ножі (універсальний) в групи</t>
  </si>
  <si>
    <t>Обслуговування вогнегасників</t>
  </si>
  <si>
    <t xml:space="preserve">Обслуговування покриття на вхід </t>
  </si>
  <si>
    <t>Парасольки</t>
  </si>
  <si>
    <t>Пелюшки в молодші групи</t>
  </si>
  <si>
    <t>Піддони в душові (басейн)</t>
  </si>
  <si>
    <t xml:space="preserve">Повітряні кульки на свята </t>
  </si>
  <si>
    <t>Подушки для шизлогу- матрас на охорону</t>
  </si>
  <si>
    <t>Пожежна сигнализація абонплата</t>
  </si>
  <si>
    <t>Приладдя для унітазів</t>
  </si>
  <si>
    <t>Проведення театральних заходів, розважального характеру</t>
  </si>
  <si>
    <t>Продукти харчування ( додаткове харчування)</t>
  </si>
  <si>
    <t>Резинка в дитячі спортивні штани</t>
  </si>
  <si>
    <t>Ремонт пральної машини , техніки</t>
  </si>
  <si>
    <t>Рушники в групи</t>
  </si>
  <si>
    <t>Сейф для документів</t>
  </si>
  <si>
    <t>Серветки в групи</t>
  </si>
  <si>
    <t>Зливні трапи в санвузли (басейн)</t>
  </si>
  <si>
    <t>Терморегулятори для теплої підлоги в санвузли (басейн)</t>
  </si>
  <si>
    <t>Тканини, фурнітура</t>
  </si>
  <si>
    <t>Столи в групи</t>
  </si>
  <si>
    <t>Тепла підлога в санвузли (басейн)</t>
  </si>
  <si>
    <t>Тонометри</t>
  </si>
  <si>
    <t xml:space="preserve">Футболки дитячі </t>
  </si>
  <si>
    <t>Шафи в групи</t>
  </si>
  <si>
    <t>Шпаківні та кормушки</t>
  </si>
  <si>
    <t>МкФ- меблі на охорону</t>
  </si>
  <si>
    <t>Період</t>
  </si>
  <si>
    <t xml:space="preserve">Адміністративні витрати 2017 рік </t>
  </si>
  <si>
    <t>Заробітна плата  (з нарахуванням)</t>
  </si>
  <si>
    <t xml:space="preserve">Разом </t>
  </si>
  <si>
    <t>Витрати на ДНЗ 115 за  2017 рік</t>
  </si>
  <si>
    <t>Благодійна допомога з нарахуванням виплачена персоналу ДНЗ 115 за 2017 р.</t>
  </si>
  <si>
    <t>Розвиваючі заняття Джеронімо</t>
  </si>
  <si>
    <t>Проведення занять Лего, освітні послуги</t>
  </si>
  <si>
    <t>Рамки для дипломів</t>
  </si>
  <si>
    <t>Послуги Спостереження (тревожна кнопка)</t>
  </si>
  <si>
    <t>Пилососи в групи</t>
  </si>
  <si>
    <t xml:space="preserve">Органайзери в шкафчики </t>
  </si>
  <si>
    <t>Портативна акустика, колонки в групи</t>
  </si>
  <si>
    <t xml:space="preserve">Плитка для підлоги </t>
  </si>
  <si>
    <t>Бізнес розміщення WORK.ua</t>
  </si>
  <si>
    <t>Ремонт пральної машини,  техніки</t>
  </si>
  <si>
    <t>Будматеріали</t>
  </si>
  <si>
    <t>Канцелярські товари (папір)</t>
  </si>
  <si>
    <t>Вінки для оздоблення</t>
  </si>
  <si>
    <t>Футболки дитячі</t>
  </si>
  <si>
    <t>Гарнітури  для душу    (матеріали)</t>
  </si>
  <si>
    <t>Ковролін</t>
  </si>
  <si>
    <t>Комплектуючі для душа       (матеріали)</t>
  </si>
  <si>
    <t>Комплектуючі для унітазів</t>
  </si>
  <si>
    <t xml:space="preserve">Регулюючі бічні, опори  </t>
  </si>
  <si>
    <t xml:space="preserve">Прочищення каналізації </t>
  </si>
  <si>
    <t xml:space="preserve">Клей для плитки           </t>
  </si>
  <si>
    <t xml:space="preserve">Інструменти для покриття фарбою    </t>
  </si>
  <si>
    <t xml:space="preserve">Встановлення покриття з ФЕМ     </t>
  </si>
  <si>
    <t xml:space="preserve">Монтажні роботи  </t>
  </si>
  <si>
    <t>Інвентар для прибирання території</t>
  </si>
  <si>
    <t xml:space="preserve">Змішувачі в групи та на кухню          </t>
  </si>
  <si>
    <t xml:space="preserve">Каналізаційні роботи       </t>
  </si>
  <si>
    <t xml:space="preserve">1. Господарчі витрати      </t>
  </si>
  <si>
    <t>2.  Будівельно - монтажні роботи, матеріали та комплектуючі</t>
  </si>
  <si>
    <t>Разом:</t>
  </si>
  <si>
    <t>3. Наповнення ігрових зон</t>
  </si>
  <si>
    <t>4. Дидактично - розвивальне забезпечення</t>
  </si>
  <si>
    <t>5. Забезпечення проведення розважальних заходів</t>
  </si>
  <si>
    <t>1. Господарчі витрати</t>
  </si>
  <si>
    <t>2. Будівельно - монтажні роботи, матеріали та комплектуючі</t>
  </si>
  <si>
    <t>Дидактичні іграшки та посібники</t>
  </si>
  <si>
    <t>Будівельно - монтажні роботи, матеріали та комплектуючі</t>
  </si>
  <si>
    <t>Безоплатно передано ДНЗ № 115 БО  "БЛАГОДІЙНИЙ ФОНД"ДОЛОНІ ПІДТРИМКИ" у 2017 році</t>
  </si>
  <si>
    <t>Безоплатно передано ДНЗ № 115 БО                                                      "БЛАГОДІЙНИЙ ФОНД"ДОЛОНІ ПІДТРИМКИ" у 2017 році</t>
  </si>
  <si>
    <t>Безоплатно передано ДНЗ № 115 БО  "БЛАГОДІЙНИЙ ФОНД"                               ДОЛОНІ ПІДТРИМКИ" у 2017 році</t>
  </si>
  <si>
    <t>Еко-рюкзаки подарунки для дітей</t>
  </si>
  <si>
    <t>Безоплатно передано ДНЗ № 115 БО  "БЛАГОДІЙНИЙ ФОНД"                               ДОЛОНІ ПІДТРИМКИ" у 2018 році</t>
  </si>
  <si>
    <t>1. Господарчі товари</t>
  </si>
  <si>
    <t>Швабра та губка для миття вікон</t>
  </si>
  <si>
    <t>Бахіли 200 уп.</t>
  </si>
  <si>
    <t>Круг шліфувальний, фанера</t>
  </si>
  <si>
    <t>Миючі засоби: миючий засіб для миття посуду " Бджілка" - 0.5л.; мило рідке; гель "Санітар"; засіб для миття вікон; засіб від вапняного нальоту; засіб для виведення плям; господаче мило; губки кухонні; ганчірки для підлоги; папір туалетний; мішки для сміття</t>
  </si>
  <si>
    <t>Набір посуду; серветки</t>
  </si>
  <si>
    <t>Кран, вимикач, розетка</t>
  </si>
  <si>
    <t>Лампи галогенні - 10 шт.</t>
  </si>
  <si>
    <t>Журнали обліку</t>
  </si>
  <si>
    <t>Фанера</t>
  </si>
  <si>
    <t>Килимове покриття</t>
  </si>
  <si>
    <t>Офісне крісло та диван для відвідувачів</t>
  </si>
  <si>
    <t>Вода "АЛЯСКА" бутильована - 86 бут.</t>
  </si>
  <si>
    <t>Сода харчова</t>
  </si>
  <si>
    <t>Гірчичний порошок для чищення посуду</t>
  </si>
  <si>
    <t>"Інтертелеком" - телефонний зв'язок</t>
  </si>
  <si>
    <t>2. Меблі та покриття</t>
  </si>
  <si>
    <t>Послуги брудопоглинаючого покриття</t>
  </si>
  <si>
    <t xml:space="preserve">3. Послуги </t>
  </si>
  <si>
    <t>Обслуговування охоронно-тривожної сигналізації</t>
  </si>
  <si>
    <t>Тех. обслуговування пожежної сигналізації</t>
  </si>
  <si>
    <t>Послуги "Нова пошта"</t>
  </si>
  <si>
    <t>Послуги інтернет зв'язку</t>
  </si>
  <si>
    <t xml:space="preserve">Спец. покриття спортивної зали (безпечна підлога) </t>
  </si>
  <si>
    <t>Послуги охорони</t>
  </si>
  <si>
    <t xml:space="preserve">Послуги "аналіз води" </t>
  </si>
  <si>
    <t>Послуги по чищенню каналізації</t>
  </si>
  <si>
    <t>Поліграфічні</t>
  </si>
  <si>
    <t>Налаштування контролю доступу</t>
  </si>
  <si>
    <t>Заправка картріджів</t>
  </si>
  <si>
    <t>4. Ремонтні роботи</t>
  </si>
  <si>
    <t>Ремонт електрообладнання</t>
  </si>
  <si>
    <t>Оповіщувач пожежі - 15 шт.</t>
  </si>
  <si>
    <t>Відеокамера, кабель, бокс під монтаж</t>
  </si>
  <si>
    <t>Акамулятор, батарея, блок живлення</t>
  </si>
  <si>
    <t>Поставлено на баланс</t>
  </si>
  <si>
    <t>сума</t>
  </si>
  <si>
    <t>Найменування</t>
  </si>
  <si>
    <t>Футболки дитячі (різнокольорові)</t>
  </si>
  <si>
    <t>Костюми новорічні -  (14 шт.)</t>
  </si>
  <si>
    <t>Костюми новорічні -  (14 шт.); резинка трикотажна</t>
  </si>
  <si>
    <t>Всього:</t>
  </si>
  <si>
    <t>Разом на суму:</t>
  </si>
  <si>
    <t>Фен "РОВЕНТА" - 6 шт. (на групи)</t>
  </si>
  <si>
    <t>Конструктор "LEGO"  (подарунки дітям на день народження)</t>
  </si>
  <si>
    <t>5. Техніка (інше)</t>
  </si>
  <si>
    <t>Додаток до звіту за 2017 - 2018 н.р.                                        Таблиця № 1</t>
  </si>
  <si>
    <t>Хозвитрати (будматеріали)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</si>
</sst>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</font>
    <font>
      <b/>
      <sz val="14"/>
      <color theme="1"/>
      <name val="Times New Roman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" fontId="1" fillId="0" borderId="2" xfId="0" applyNumberFormat="1" applyFont="1" applyBorder="1"/>
    <xf numFmtId="4" fontId="1" fillId="0" borderId="1" xfId="0" applyNumberFormat="1" applyFont="1" applyBorder="1"/>
    <xf numFmtId="4" fontId="0" fillId="0" borderId="1" xfId="0" applyNumberForma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4" xfId="0" applyNumberFormat="1" applyFont="1" applyBorder="1"/>
    <xf numFmtId="0" fontId="0" fillId="0" borderId="1" xfId="0" applyBorder="1"/>
    <xf numFmtId="0" fontId="2" fillId="0" borderId="0" xfId="0" applyFont="1" applyAlignment="1">
      <alignment horizontal="center" wrapText="1"/>
    </xf>
    <xf numFmtId="0" fontId="0" fillId="0" borderId="5" xfId="0" applyBorder="1"/>
    <xf numFmtId="0" fontId="1" fillId="0" borderId="8" xfId="0" applyFont="1" applyBorder="1"/>
    <xf numFmtId="4" fontId="1" fillId="0" borderId="9" xfId="0" applyNumberFormat="1" applyFont="1" applyBorder="1"/>
    <xf numFmtId="4" fontId="1" fillId="0" borderId="6" xfId="0" applyNumberFormat="1" applyFont="1" applyBorder="1"/>
    <xf numFmtId="0" fontId="1" fillId="0" borderId="10" xfId="0" applyFont="1" applyBorder="1"/>
    <xf numFmtId="0" fontId="0" fillId="0" borderId="0" xfId="0" applyFill="1"/>
    <xf numFmtId="0" fontId="1" fillId="0" borderId="7" xfId="0" applyFont="1" applyBorder="1"/>
    <xf numFmtId="0" fontId="1" fillId="0" borderId="9" xfId="0" applyFont="1" applyBorder="1"/>
    <xf numFmtId="0" fontId="1" fillId="0" borderId="11" xfId="0" applyFont="1" applyBorder="1"/>
    <xf numFmtId="0" fontId="0" fillId="0" borderId="12" xfId="0" applyBorder="1"/>
    <xf numFmtId="0" fontId="1" fillId="0" borderId="13" xfId="0" applyFont="1" applyBorder="1"/>
    <xf numFmtId="0" fontId="1" fillId="0" borderId="5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Border="1"/>
    <xf numFmtId="0" fontId="1" fillId="0" borderId="16" xfId="0" applyFont="1" applyBorder="1"/>
    <xf numFmtId="0" fontId="1" fillId="0" borderId="16" xfId="0" applyFont="1" applyFill="1" applyBorder="1"/>
    <xf numFmtId="0" fontId="1" fillId="0" borderId="17" xfId="0" applyFont="1" applyFill="1" applyBorder="1"/>
    <xf numFmtId="4" fontId="1" fillId="0" borderId="16" xfId="0" applyNumberFormat="1" applyFont="1" applyBorder="1"/>
    <xf numFmtId="4" fontId="1" fillId="0" borderId="10" xfId="0" applyNumberFormat="1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0" fillId="0" borderId="20" xfId="0" applyBorder="1"/>
    <xf numFmtId="0" fontId="0" fillId="0" borderId="28" xfId="0" applyBorder="1"/>
    <xf numFmtId="0" fontId="0" fillId="0" borderId="2" xfId="0" applyBorder="1"/>
    <xf numFmtId="0" fontId="0" fillId="0" borderId="30" xfId="0" applyBorder="1"/>
    <xf numFmtId="0" fontId="0" fillId="0" borderId="31" xfId="0" applyBorder="1"/>
    <xf numFmtId="0" fontId="3" fillId="0" borderId="27" xfId="0" applyFont="1" applyBorder="1"/>
    <xf numFmtId="0" fontId="4" fillId="0" borderId="27" xfId="0" applyFont="1" applyBorder="1"/>
    <xf numFmtId="4" fontId="4" fillId="0" borderId="23" xfId="0" applyNumberFormat="1" applyFont="1" applyBorder="1"/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1" xfId="0" applyFont="1" applyBorder="1"/>
    <xf numFmtId="4" fontId="7" fillId="0" borderId="1" xfId="0" applyNumberFormat="1" applyFont="1" applyBorder="1"/>
    <xf numFmtId="4" fontId="7" fillId="0" borderId="19" xfId="0" applyNumberFormat="1" applyFont="1" applyBorder="1"/>
    <xf numFmtId="0" fontId="6" fillId="0" borderId="1" xfId="0" applyFont="1" applyFill="1" applyBorder="1"/>
    <xf numFmtId="4" fontId="7" fillId="0" borderId="22" xfId="0" applyNumberFormat="1" applyFont="1" applyBorder="1"/>
    <xf numFmtId="0" fontId="1" fillId="0" borderId="0" xfId="0" applyFont="1"/>
    <xf numFmtId="0" fontId="3" fillId="0" borderId="2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19" xfId="0" applyFont="1" applyFill="1" applyBorder="1"/>
    <xf numFmtId="0" fontId="4" fillId="0" borderId="29" xfId="0" applyFont="1" applyBorder="1"/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0" xfId="0" applyFont="1" applyFill="1" applyBorder="1"/>
    <xf numFmtId="0" fontId="7" fillId="0" borderId="21" xfId="0" applyFont="1" applyFill="1" applyBorder="1"/>
    <xf numFmtId="0" fontId="7" fillId="0" borderId="21" xfId="0" applyFont="1" applyBorder="1"/>
    <xf numFmtId="0" fontId="6" fillId="0" borderId="21" xfId="0" applyFont="1" applyBorder="1"/>
    <xf numFmtId="4" fontId="4" fillId="0" borderId="4" xfId="0" applyNumberFormat="1" applyFont="1" applyBorder="1"/>
    <xf numFmtId="0" fontId="4" fillId="0" borderId="3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33" xfId="0" applyBorder="1"/>
    <xf numFmtId="0" fontId="7" fillId="0" borderId="30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3" fillId="0" borderId="16" xfId="0" applyFont="1" applyFill="1" applyBorder="1"/>
    <xf numFmtId="0" fontId="13" fillId="0" borderId="5" xfId="0" applyFont="1" applyFill="1" applyBorder="1"/>
    <xf numFmtId="0" fontId="14" fillId="0" borderId="0" xfId="0" applyFont="1" applyFill="1"/>
    <xf numFmtId="0" fontId="13" fillId="0" borderId="16" xfId="0" applyFont="1" applyBorder="1"/>
    <xf numFmtId="0" fontId="13" fillId="0" borderId="5" xfId="0" applyFont="1" applyBorder="1"/>
    <xf numFmtId="0" fontId="14" fillId="0" borderId="0" xfId="0" applyFont="1"/>
    <xf numFmtId="0" fontId="15" fillId="0" borderId="16" xfId="0" applyFont="1" applyBorder="1"/>
    <xf numFmtId="0" fontId="15" fillId="0" borderId="5" xfId="0" applyFont="1" applyBorder="1"/>
    <xf numFmtId="0" fontId="9" fillId="0" borderId="0" xfId="0" applyFont="1"/>
    <xf numFmtId="4" fontId="4" fillId="0" borderId="1" xfId="0" applyNumberFormat="1" applyFont="1" applyBorder="1"/>
    <xf numFmtId="0" fontId="16" fillId="0" borderId="14" xfId="0" applyFont="1" applyBorder="1"/>
    <xf numFmtId="0" fontId="10" fillId="0" borderId="12" xfId="0" applyFont="1" applyBorder="1"/>
    <xf numFmtId="0" fontId="10" fillId="0" borderId="0" xfId="0" applyFont="1"/>
    <xf numFmtId="4" fontId="11" fillId="0" borderId="2" xfId="0" applyNumberFormat="1" applyFont="1" applyBorder="1" applyAlignment="1"/>
    <xf numFmtId="0" fontId="7" fillId="0" borderId="1" xfId="0" applyFont="1" applyBorder="1" applyAlignment="1"/>
    <xf numFmtId="0" fontId="7" fillId="0" borderId="5" xfId="0" applyFont="1" applyBorder="1" applyAlignment="1"/>
    <xf numFmtId="4" fontId="7" fillId="0" borderId="1" xfId="0" applyNumberFormat="1" applyFont="1" applyBorder="1" applyAlignment="1"/>
    <xf numFmtId="0" fontId="11" fillId="0" borderId="1" xfId="0" applyFont="1" applyBorder="1"/>
    <xf numFmtId="0" fontId="7" fillId="0" borderId="1" xfId="0" applyFont="1" applyFill="1" applyBorder="1"/>
    <xf numFmtId="0" fontId="12" fillId="0" borderId="1" xfId="0" applyFont="1" applyFill="1" applyBorder="1"/>
    <xf numFmtId="0" fontId="12" fillId="0" borderId="1" xfId="0" applyFont="1" applyBorder="1"/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0" fontId="17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2" fontId="11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1" fillId="0" borderId="16" xfId="0" applyFont="1" applyBorder="1"/>
    <xf numFmtId="0" fontId="21" fillId="0" borderId="5" xfId="0" applyFont="1" applyBorder="1"/>
    <xf numFmtId="0" fontId="22" fillId="0" borderId="0" xfId="0" applyFont="1"/>
    <xf numFmtId="2" fontId="21" fillId="0" borderId="1" xfId="0" applyNumberFormat="1" applyFont="1" applyBorder="1" applyAlignment="1">
      <alignment wrapText="1"/>
    </xf>
    <xf numFmtId="0" fontId="21" fillId="0" borderId="16" xfId="0" applyFont="1" applyFill="1" applyBorder="1"/>
    <xf numFmtId="0" fontId="21" fillId="0" borderId="5" xfId="0" applyFont="1" applyFill="1" applyBorder="1"/>
    <xf numFmtId="0" fontId="22" fillId="0" borderId="0" xfId="0" applyFont="1" applyFill="1"/>
    <xf numFmtId="0" fontId="18" fillId="0" borderId="1" xfId="0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8" fillId="0" borderId="16" xfId="0" applyFont="1" applyBorder="1"/>
    <xf numFmtId="0" fontId="18" fillId="0" borderId="5" xfId="0" applyFont="1" applyBorder="1"/>
    <xf numFmtId="0" fontId="23" fillId="0" borderId="0" xfId="0" applyFont="1"/>
    <xf numFmtId="0" fontId="24" fillId="0" borderId="16" xfId="0" applyFont="1" applyBorder="1"/>
    <xf numFmtId="0" fontId="24" fillId="0" borderId="5" xfId="0" applyFont="1" applyBorder="1"/>
    <xf numFmtId="0" fontId="25" fillId="0" borderId="0" xfId="0" applyFont="1"/>
    <xf numFmtId="2" fontId="21" fillId="0" borderId="1" xfId="0" applyNumberFormat="1" applyFont="1" applyFill="1" applyBorder="1" applyAlignment="1">
      <alignment wrapText="1"/>
    </xf>
    <xf numFmtId="0" fontId="21" fillId="0" borderId="17" xfId="0" applyFont="1" applyFill="1" applyBorder="1"/>
    <xf numFmtId="0" fontId="18" fillId="0" borderId="16" xfId="0" applyFont="1" applyFill="1" applyBorder="1"/>
    <xf numFmtId="0" fontId="18" fillId="0" borderId="5" xfId="0" applyFont="1" applyFill="1" applyBorder="1"/>
    <xf numFmtId="0" fontId="23" fillId="0" borderId="0" xfId="0" applyFont="1" applyFill="1"/>
    <xf numFmtId="0" fontId="22" fillId="0" borderId="1" xfId="0" applyFont="1" applyBorder="1"/>
    <xf numFmtId="2" fontId="21" fillId="0" borderId="1" xfId="0" applyNumberFormat="1" applyFont="1" applyBorder="1"/>
    <xf numFmtId="4" fontId="21" fillId="0" borderId="16" xfId="0" applyNumberFormat="1" applyFont="1" applyBorder="1"/>
    <xf numFmtId="4" fontId="21" fillId="0" borderId="0" xfId="0" applyNumberFormat="1" applyFont="1" applyBorder="1"/>
    <xf numFmtId="0" fontId="21" fillId="0" borderId="34" xfId="0" applyFont="1" applyBorder="1"/>
    <xf numFmtId="0" fontId="21" fillId="0" borderId="0" xfId="0" applyFont="1"/>
    <xf numFmtId="0" fontId="21" fillId="0" borderId="1" xfId="0" applyFont="1" applyBorder="1"/>
    <xf numFmtId="2" fontId="2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left"/>
    </xf>
    <xf numFmtId="4" fontId="21" fillId="0" borderId="0" xfId="0" applyNumberFormat="1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0" fillId="0" borderId="1" xfId="0" applyFont="1" applyBorder="1"/>
    <xf numFmtId="2" fontId="20" fillId="0" borderId="1" xfId="0" applyNumberFormat="1" applyFont="1" applyBorder="1"/>
    <xf numFmtId="4" fontId="21" fillId="0" borderId="10" xfId="0" applyNumberFormat="1" applyFont="1" applyBorder="1"/>
    <xf numFmtId="4" fontId="21" fillId="0" borderId="4" xfId="0" applyNumberFormat="1" applyFont="1" applyBorder="1"/>
    <xf numFmtId="0" fontId="21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8"/>
  <sheetViews>
    <sheetView workbookViewId="0">
      <selection activeCell="B2" sqref="B2:B147"/>
    </sheetView>
  </sheetViews>
  <sheetFormatPr defaultColWidth="8.85546875" defaultRowHeight="15" x14ac:dyDescent="0.25"/>
  <cols>
    <col min="1" max="1" width="42.28515625" customWidth="1"/>
    <col min="2" max="2" width="12" customWidth="1"/>
  </cols>
  <sheetData>
    <row r="1" spans="1:2" ht="54" customHeight="1" thickBot="1" x14ac:dyDescent="0.4">
      <c r="A1" s="148" t="s">
        <v>147</v>
      </c>
      <c r="B1" s="148"/>
    </row>
    <row r="2" spans="1:2" ht="15.75" thickBot="1" x14ac:dyDescent="0.3">
      <c r="A2" s="3" t="s">
        <v>0</v>
      </c>
      <c r="B2" s="4" t="s">
        <v>1</v>
      </c>
    </row>
    <row r="3" spans="1:2" x14ac:dyDescent="0.25">
      <c r="A3" s="2" t="s">
        <v>74</v>
      </c>
      <c r="B3" s="5">
        <v>4325</v>
      </c>
    </row>
    <row r="4" spans="1:2" x14ac:dyDescent="0.25">
      <c r="A4" s="1" t="s">
        <v>91</v>
      </c>
      <c r="B4" s="6">
        <v>2583.5</v>
      </c>
    </row>
    <row r="5" spans="1:2" x14ac:dyDescent="0.25">
      <c r="A5" s="1" t="s">
        <v>14</v>
      </c>
      <c r="B5" s="6">
        <f>1120+73.45+1120+2700+1720.42+2700+2800+1500</f>
        <v>13733.869999999999</v>
      </c>
    </row>
    <row r="6" spans="1:2" x14ac:dyDescent="0.25">
      <c r="A6" s="1" t="s">
        <v>30</v>
      </c>
      <c r="B6" s="6">
        <f>390+258</f>
        <v>648</v>
      </c>
    </row>
    <row r="7" spans="1:2" x14ac:dyDescent="0.25">
      <c r="A7" s="1" t="s">
        <v>23</v>
      </c>
      <c r="B7" s="6">
        <v>198</v>
      </c>
    </row>
    <row r="8" spans="1:2" x14ac:dyDescent="0.25">
      <c r="A8" s="1" t="s">
        <v>61</v>
      </c>
      <c r="B8" s="6">
        <f>48829.95+20927.12</f>
        <v>69757.069999999992</v>
      </c>
    </row>
    <row r="9" spans="1:2" x14ac:dyDescent="0.25">
      <c r="A9" s="1" t="s">
        <v>32</v>
      </c>
      <c r="B9" s="6">
        <f>2801.18+10368.03+6041.7+5873.22+25710.02+10369.4+3376.62+9616.3+2897.76+5842.99+6688.47+1026.9+2546.87+759.15+4186.62+1645.06+1322.34+2016.34+45+2986.2+215.64+479.91+715.5+1382.76+825.87+1282.85+7879.76+5737.32+2090.48+4876.02+2563.26+3531.32+800+2738.47+668.4+681.54</f>
        <v>142589.26999999999</v>
      </c>
    </row>
    <row r="10" spans="1:2" x14ac:dyDescent="0.25">
      <c r="A10" s="1" t="s">
        <v>22</v>
      </c>
      <c r="B10" s="6">
        <f>3800+3800+3800+3800+3800+3800+3800+3800+3800+3800+7600+9955+10400+5200+5200</f>
        <v>76355</v>
      </c>
    </row>
    <row r="11" spans="1:2" x14ac:dyDescent="0.25">
      <c r="A11" s="1" t="s">
        <v>40</v>
      </c>
      <c r="B11" s="6">
        <v>1059</v>
      </c>
    </row>
    <row r="12" spans="1:2" x14ac:dyDescent="0.25">
      <c r="A12" s="1" t="s">
        <v>136</v>
      </c>
      <c r="B12" s="6">
        <f>31650+8100</f>
        <v>39750</v>
      </c>
    </row>
    <row r="13" spans="1:2" x14ac:dyDescent="0.25">
      <c r="A13" s="1" t="s">
        <v>92</v>
      </c>
      <c r="B13" s="6">
        <v>1353.75</v>
      </c>
    </row>
    <row r="14" spans="1:2" x14ac:dyDescent="0.25">
      <c r="A14" s="1" t="s">
        <v>12</v>
      </c>
      <c r="B14" s="6">
        <f>5000+4000+2484.47+6000+6000+7000+4000</f>
        <v>34484.47</v>
      </c>
    </row>
    <row r="15" spans="1:2" x14ac:dyDescent="0.25">
      <c r="A15" s="1" t="s">
        <v>127</v>
      </c>
      <c r="B15" s="6">
        <v>495</v>
      </c>
    </row>
    <row r="16" spans="1:2" x14ac:dyDescent="0.25">
      <c r="A16" s="1" t="s">
        <v>54</v>
      </c>
      <c r="B16" s="6">
        <f>20697.6+8870.4</f>
        <v>29568</v>
      </c>
    </row>
    <row r="17" spans="1:2" x14ac:dyDescent="0.25">
      <c r="A17" s="1" t="s">
        <v>93</v>
      </c>
      <c r="B17" s="6">
        <v>513.84</v>
      </c>
    </row>
    <row r="18" spans="1:2" x14ac:dyDescent="0.25">
      <c r="A18" s="1" t="s">
        <v>49</v>
      </c>
      <c r="B18" s="6">
        <f>11329.86+1515.72+7523</f>
        <v>20368.580000000002</v>
      </c>
    </row>
    <row r="19" spans="1:2" x14ac:dyDescent="0.25">
      <c r="A19" s="1" t="s">
        <v>52</v>
      </c>
      <c r="B19" s="6">
        <v>450</v>
      </c>
    </row>
    <row r="20" spans="1:2" x14ac:dyDescent="0.25">
      <c r="A20" s="1" t="s">
        <v>76</v>
      </c>
      <c r="B20" s="6">
        <v>248.76</v>
      </c>
    </row>
    <row r="21" spans="1:2" x14ac:dyDescent="0.25">
      <c r="A21" s="1" t="s">
        <v>112</v>
      </c>
      <c r="B21" s="6">
        <v>1323.72</v>
      </c>
    </row>
    <row r="22" spans="1:2" x14ac:dyDescent="0.25">
      <c r="A22" s="1" t="s">
        <v>111</v>
      </c>
      <c r="B22" s="6">
        <v>50.88</v>
      </c>
    </row>
    <row r="23" spans="1:2" x14ac:dyDescent="0.25">
      <c r="A23" s="1" t="s">
        <v>53</v>
      </c>
      <c r="B23" s="6">
        <v>19.350000000000001</v>
      </c>
    </row>
    <row r="24" spans="1:2" x14ac:dyDescent="0.25">
      <c r="A24" s="1" t="s">
        <v>130</v>
      </c>
      <c r="B24" s="6">
        <f>105.9+783.93+309.31</f>
        <v>1199.1399999999999</v>
      </c>
    </row>
    <row r="25" spans="1:2" x14ac:dyDescent="0.25">
      <c r="A25" s="1" t="s">
        <v>135</v>
      </c>
      <c r="B25" s="6">
        <f>5167+6657+6968+5038.62</f>
        <v>23830.62</v>
      </c>
    </row>
    <row r="26" spans="1:2" x14ac:dyDescent="0.25">
      <c r="A26" s="1" t="s">
        <v>113</v>
      </c>
      <c r="B26" s="6">
        <v>2277.0300000000002</v>
      </c>
    </row>
    <row r="27" spans="1:2" x14ac:dyDescent="0.25">
      <c r="A27" s="1" t="s">
        <v>36</v>
      </c>
      <c r="B27" s="6">
        <f>6440+3477.39+3431+17680+2462.52</f>
        <v>33490.909999999996</v>
      </c>
    </row>
    <row r="28" spans="1:2" x14ac:dyDescent="0.25">
      <c r="A28" s="1" t="s">
        <v>56</v>
      </c>
      <c r="B28" s="6">
        <f>56512+4032+12171</f>
        <v>72715</v>
      </c>
    </row>
    <row r="29" spans="1:2" x14ac:dyDescent="0.25">
      <c r="A29" s="1" t="s">
        <v>100</v>
      </c>
      <c r="B29" s="6">
        <v>860</v>
      </c>
    </row>
    <row r="30" spans="1:2" x14ac:dyDescent="0.25">
      <c r="A30" s="1" t="s">
        <v>8</v>
      </c>
      <c r="B30" s="6">
        <f>5324.89+7863.51+2103.51+1768.2+5642.05+304.54+1621.08+2463.22+5163.7+610.5+3731.08+6269.42+837.6+1418.14+1460.64+1267.8+3951+2663.75+431.71+6326.6+655.41+990.57+1601.4+5270.2+1253.74+5318.24+1200.64+6663.97+1833.57+4992.68+5017.95+3420.87+5165.05+5655.25+3329.34+2736.6+2401.56+354.92+1726.7+504.36+392.28+326.9+438.98+1049.7+326.9+1419.3+420.3+467+467+279.84+3832.8</f>
        <v>130736.95999999999</v>
      </c>
    </row>
    <row r="31" spans="1:2" x14ac:dyDescent="0.25">
      <c r="A31" s="1" t="s">
        <v>83</v>
      </c>
      <c r="B31" s="6">
        <f>5878.35+6518.97</f>
        <v>12397.32</v>
      </c>
    </row>
    <row r="32" spans="1:2" x14ac:dyDescent="0.25">
      <c r="A32" s="1" t="s">
        <v>73</v>
      </c>
      <c r="B32" s="6">
        <v>1539.86</v>
      </c>
    </row>
    <row r="33" spans="1:2" x14ac:dyDescent="0.25">
      <c r="A33" s="1" t="s">
        <v>28</v>
      </c>
      <c r="B33" s="6">
        <f>1980+1200</f>
        <v>3180</v>
      </c>
    </row>
    <row r="34" spans="1:2" x14ac:dyDescent="0.25">
      <c r="A34" s="1" t="s">
        <v>48</v>
      </c>
      <c r="B34" s="6">
        <v>108</v>
      </c>
    </row>
    <row r="35" spans="1:2" x14ac:dyDescent="0.25">
      <c r="A35" s="1" t="s">
        <v>78</v>
      </c>
      <c r="B35" s="6">
        <v>5310</v>
      </c>
    </row>
    <row r="36" spans="1:2" x14ac:dyDescent="0.25">
      <c r="A36" s="1" t="s">
        <v>29</v>
      </c>
      <c r="B36" s="6">
        <f>763.3+1131.48</f>
        <v>1894.78</v>
      </c>
    </row>
    <row r="37" spans="1:2" x14ac:dyDescent="0.25">
      <c r="A37" s="1" t="s">
        <v>134</v>
      </c>
      <c r="B37" s="6">
        <f>3288.02+126</f>
        <v>3414.02</v>
      </c>
    </row>
    <row r="38" spans="1:2" x14ac:dyDescent="0.25">
      <c r="A38" s="1" t="s">
        <v>144</v>
      </c>
      <c r="B38" s="6">
        <f>239+850+139+239+538+723+1460+1433+139+1715+1085+2880+2171+1084+1502+1305+560+1166+459</f>
        <v>19687</v>
      </c>
    </row>
    <row r="39" spans="1:2" x14ac:dyDescent="0.25">
      <c r="A39" s="1" t="s">
        <v>109</v>
      </c>
      <c r="B39" s="6">
        <v>16740</v>
      </c>
    </row>
    <row r="40" spans="1:2" x14ac:dyDescent="0.25">
      <c r="A40" s="1" t="s">
        <v>82</v>
      </c>
      <c r="B40" s="6">
        <v>2099</v>
      </c>
    </row>
    <row r="41" spans="1:2" x14ac:dyDescent="0.25">
      <c r="A41" s="1" t="s">
        <v>4</v>
      </c>
      <c r="B41" s="6">
        <f>4622.4+3432.55+1083.19+3118.29+742.31+4429.51+11233.2+326.7+9600+570+3480+1782+3099.6+1764+1060.8+530.9+4465+4327.26+2320.2+7000+883.21+267.42+1339.92+8669.1+3442.14+1662.5+1095.54+418.06</f>
        <v>86765.8</v>
      </c>
    </row>
    <row r="42" spans="1:2" x14ac:dyDescent="0.25">
      <c r="A42" s="1" t="s">
        <v>116</v>
      </c>
      <c r="B42" s="6">
        <f>1716+3657.09</f>
        <v>5373.09</v>
      </c>
    </row>
    <row r="43" spans="1:2" x14ac:dyDescent="0.25">
      <c r="A43" s="1" t="s">
        <v>24</v>
      </c>
      <c r="B43" s="6">
        <f>350+710+200+355+200+355+355+300+200+355+355+355+200+355+355+355+400+355+355+500+355+355</f>
        <v>7675</v>
      </c>
    </row>
    <row r="44" spans="1:2" x14ac:dyDescent="0.25">
      <c r="A44" s="1" t="s">
        <v>120</v>
      </c>
      <c r="B44" s="6">
        <v>185.4</v>
      </c>
    </row>
    <row r="45" spans="1:2" x14ac:dyDescent="0.25">
      <c r="A45" s="1" t="s">
        <v>18</v>
      </c>
      <c r="B45" s="6">
        <f>349.5+1350+737.1+869.25+467.8+1315+449.54+366.57+761.03+2009.99+16893.07+479.17+60.35+878.44+791.2+8139.42+2096.98+541.27+320+1361.35+1635.2+3628.63+145+4611.59+225.33+9059.9+231+379.8+387+5708.9+120+239.61</f>
        <v>66608.989999999991</v>
      </c>
    </row>
    <row r="46" spans="1:2" x14ac:dyDescent="0.25">
      <c r="A46" s="1" t="s">
        <v>10</v>
      </c>
      <c r="B46" s="6">
        <f>3299.88+1525.32+2730+1744+2592+1050+500+285+4805.94+1200+537.18</f>
        <v>20269.32</v>
      </c>
    </row>
    <row r="47" spans="1:2" x14ac:dyDescent="0.25">
      <c r="A47" s="1" t="s">
        <v>143</v>
      </c>
      <c r="B47" s="7">
        <f>670.5+2120.13+896.9+2736.6</f>
        <v>6424.13</v>
      </c>
    </row>
    <row r="48" spans="1:2" x14ac:dyDescent="0.25">
      <c r="A48" s="1" t="s">
        <v>21</v>
      </c>
      <c r="B48" s="6">
        <v>2707.41</v>
      </c>
    </row>
    <row r="49" spans="1:2" x14ac:dyDescent="0.25">
      <c r="A49" s="1" t="s">
        <v>79</v>
      </c>
      <c r="B49" s="6">
        <v>1050</v>
      </c>
    </row>
    <row r="50" spans="1:2" x14ac:dyDescent="0.25">
      <c r="A50" s="1" t="s">
        <v>121</v>
      </c>
      <c r="B50" s="6">
        <f>648.78+360.11+1330.21+5965.05</f>
        <v>8304.15</v>
      </c>
    </row>
    <row r="51" spans="1:2" x14ac:dyDescent="0.25">
      <c r="A51" s="1" t="s">
        <v>145</v>
      </c>
      <c r="B51" s="6">
        <v>14700</v>
      </c>
    </row>
    <row r="52" spans="1:2" x14ac:dyDescent="0.25">
      <c r="A52" s="1" t="s">
        <v>142</v>
      </c>
      <c r="B52" s="6">
        <v>768.79</v>
      </c>
    </row>
    <row r="53" spans="1:2" x14ac:dyDescent="0.25">
      <c r="A53" s="1" t="s">
        <v>6</v>
      </c>
      <c r="B53" s="6">
        <v>68.5</v>
      </c>
    </row>
    <row r="54" spans="1:2" x14ac:dyDescent="0.25">
      <c r="A54" s="1" t="s">
        <v>126</v>
      </c>
      <c r="B54" s="6">
        <v>233</v>
      </c>
    </row>
    <row r="55" spans="1:2" x14ac:dyDescent="0.25">
      <c r="A55" s="1" t="s">
        <v>84</v>
      </c>
      <c r="B55" s="6">
        <f>1926.06+6041.7</f>
        <v>7967.76</v>
      </c>
    </row>
    <row r="56" spans="1:2" x14ac:dyDescent="0.25">
      <c r="A56" s="1" t="s">
        <v>46</v>
      </c>
      <c r="B56" s="6">
        <v>4600</v>
      </c>
    </row>
    <row r="57" spans="1:2" x14ac:dyDescent="0.25">
      <c r="A57" s="1" t="s">
        <v>118</v>
      </c>
      <c r="B57" s="6">
        <v>225.93</v>
      </c>
    </row>
    <row r="58" spans="1:2" x14ac:dyDescent="0.25">
      <c r="A58" s="1" t="s">
        <v>94</v>
      </c>
      <c r="B58" s="6">
        <v>3842</v>
      </c>
    </row>
    <row r="59" spans="1:2" x14ac:dyDescent="0.25">
      <c r="A59" s="1" t="s">
        <v>57</v>
      </c>
      <c r="B59" s="6">
        <v>1752</v>
      </c>
    </row>
    <row r="60" spans="1:2" x14ac:dyDescent="0.25">
      <c r="A60" s="1" t="s">
        <v>122</v>
      </c>
      <c r="B60" s="6">
        <f>3809.5+2104.25+2500+2500+3798+175.5+351</f>
        <v>15238.25</v>
      </c>
    </row>
    <row r="61" spans="1:2" x14ac:dyDescent="0.25">
      <c r="A61" s="1" t="s">
        <v>71</v>
      </c>
      <c r="B61" s="6">
        <v>357.03</v>
      </c>
    </row>
    <row r="62" spans="1:2" x14ac:dyDescent="0.25">
      <c r="A62" s="1" t="s">
        <v>38</v>
      </c>
      <c r="B62" s="6">
        <v>4400</v>
      </c>
    </row>
    <row r="63" spans="1:2" x14ac:dyDescent="0.25">
      <c r="A63" s="1" t="s">
        <v>106</v>
      </c>
      <c r="B63" s="6">
        <f>1581+1280</f>
        <v>2861</v>
      </c>
    </row>
    <row r="64" spans="1:2" x14ac:dyDescent="0.25">
      <c r="A64" s="1" t="s">
        <v>75</v>
      </c>
      <c r="B64" s="6">
        <v>2670.03</v>
      </c>
    </row>
    <row r="65" spans="1:2" x14ac:dyDescent="0.25">
      <c r="A65" s="1" t="s">
        <v>140</v>
      </c>
      <c r="B65" s="6">
        <v>14394.9</v>
      </c>
    </row>
    <row r="66" spans="1:2" x14ac:dyDescent="0.25">
      <c r="A66" s="1" t="s">
        <v>41</v>
      </c>
      <c r="B66" s="6">
        <f>10407.3+233.91+7919.88+7078.2+7565.64+4736.52+8658.18+7928.16+7599.18+1496.64+2368.92+7621.44+503.91</f>
        <v>74117.88</v>
      </c>
    </row>
    <row r="67" spans="1:2" x14ac:dyDescent="0.25">
      <c r="A67" s="1" t="s">
        <v>103</v>
      </c>
      <c r="B67" s="6">
        <v>67.86</v>
      </c>
    </row>
    <row r="68" spans="1:2" x14ac:dyDescent="0.25">
      <c r="A68" s="1" t="s">
        <v>97</v>
      </c>
      <c r="B68" s="6">
        <f>1050+1050</f>
        <v>2100</v>
      </c>
    </row>
    <row r="69" spans="1:2" x14ac:dyDescent="0.25">
      <c r="A69" s="1" t="s">
        <v>27</v>
      </c>
      <c r="B69" s="6">
        <f>1016.74+25000+30000.3+28066.38</f>
        <v>84083.42</v>
      </c>
    </row>
    <row r="70" spans="1:2" x14ac:dyDescent="0.25">
      <c r="A70" s="1" t="s">
        <v>65</v>
      </c>
      <c r="B70" s="6">
        <v>37624</v>
      </c>
    </row>
    <row r="71" spans="1:2" x14ac:dyDescent="0.25">
      <c r="A71" s="1" t="s">
        <v>138</v>
      </c>
      <c r="B71" s="6">
        <f>1665.36+2248.92+302.62+460.2+804.55+1200+325+3280+402+4680+485+500+1339.91+656</f>
        <v>18349.560000000001</v>
      </c>
    </row>
    <row r="72" spans="1:2" x14ac:dyDescent="0.25">
      <c r="A72" s="1" t="s">
        <v>51</v>
      </c>
      <c r="B72" s="6">
        <f>1370+8627.5</f>
        <v>9997.5</v>
      </c>
    </row>
    <row r="73" spans="1:2" x14ac:dyDescent="0.25">
      <c r="A73" s="1" t="s">
        <v>43</v>
      </c>
      <c r="B73" s="6">
        <f>409.47+51.95+619.2+45.22+49.8+268.35</f>
        <v>1443.9900000000002</v>
      </c>
    </row>
    <row r="74" spans="1:2" x14ac:dyDescent="0.25">
      <c r="A74" s="1" t="s">
        <v>86</v>
      </c>
      <c r="B74" s="6">
        <v>1283</v>
      </c>
    </row>
    <row r="75" spans="1:2" x14ac:dyDescent="0.25">
      <c r="A75" s="1" t="s">
        <v>67</v>
      </c>
      <c r="B75" s="6">
        <v>189</v>
      </c>
    </row>
    <row r="76" spans="1:2" x14ac:dyDescent="0.25">
      <c r="A76" s="1" t="s">
        <v>2</v>
      </c>
      <c r="B76" s="6">
        <f>300.5+3273.55+7222.32+321.14+7654+20000+112.86+82.1+201+6519.12+2771.33+11525.1+6842.6+366</f>
        <v>67191.62</v>
      </c>
    </row>
    <row r="77" spans="1:2" x14ac:dyDescent="0.25">
      <c r="A77" s="1" t="s">
        <v>55</v>
      </c>
      <c r="B77" s="6">
        <v>16500</v>
      </c>
    </row>
    <row r="78" spans="1:2" x14ac:dyDescent="0.25">
      <c r="A78" s="1" t="s">
        <v>98</v>
      </c>
      <c r="B78" s="6">
        <v>2460</v>
      </c>
    </row>
    <row r="79" spans="1:2" x14ac:dyDescent="0.25">
      <c r="A79" s="1" t="s">
        <v>34</v>
      </c>
      <c r="B79" s="6">
        <f>3572.1+573.6</f>
        <v>4145.7</v>
      </c>
    </row>
    <row r="80" spans="1:2" x14ac:dyDescent="0.25">
      <c r="A80" s="1" t="s">
        <v>108</v>
      </c>
      <c r="B80" s="6">
        <f>12525.25+2771.36+145.08+4147.82+2398.03+400+832.82+271+562.95+848.98+107.88+214</f>
        <v>25225.170000000002</v>
      </c>
    </row>
    <row r="81" spans="1:2" x14ac:dyDescent="0.25">
      <c r="A81" s="1" t="s">
        <v>31</v>
      </c>
      <c r="B81" s="6">
        <f>5400+2416+9171+2416+210+2937+2957.61+150+714.8+2160+5515.81</f>
        <v>34048.22</v>
      </c>
    </row>
    <row r="82" spans="1:2" x14ac:dyDescent="0.25">
      <c r="A82" s="1" t="s">
        <v>60</v>
      </c>
      <c r="B82" s="6">
        <f>654+1225</f>
        <v>1879</v>
      </c>
    </row>
    <row r="83" spans="1:2" x14ac:dyDescent="0.25">
      <c r="A83" s="1" t="s">
        <v>99</v>
      </c>
      <c r="B83" s="6">
        <v>1700</v>
      </c>
    </row>
    <row r="84" spans="1:2" x14ac:dyDescent="0.25">
      <c r="A84" s="1" t="s">
        <v>17</v>
      </c>
      <c r="B84" s="6">
        <f>1920+2924.7+1920+971+2768+1107+1920+15502.4+1920+1005+522+3840+1028+25358.89+6370+6039.48+2570</f>
        <v>77686.469999999987</v>
      </c>
    </row>
    <row r="85" spans="1:2" x14ac:dyDescent="0.25">
      <c r="A85" s="1" t="s">
        <v>20</v>
      </c>
      <c r="B85" s="6">
        <f>531+448.8+352.8+1592.8</f>
        <v>2925.3999999999996</v>
      </c>
    </row>
    <row r="86" spans="1:2" x14ac:dyDescent="0.25">
      <c r="A86" s="1" t="s">
        <v>63</v>
      </c>
      <c r="B86" s="6">
        <v>740</v>
      </c>
    </row>
    <row r="87" spans="1:2" x14ac:dyDescent="0.25">
      <c r="A87" s="1" t="s">
        <v>13</v>
      </c>
      <c r="B87" s="6">
        <f>145.14+1226.12+85.14</f>
        <v>1456.3999999999999</v>
      </c>
    </row>
    <row r="88" spans="1:2" x14ac:dyDescent="0.25">
      <c r="A88" s="1" t="s">
        <v>47</v>
      </c>
      <c r="B88" s="6">
        <v>319.5</v>
      </c>
    </row>
    <row r="89" spans="1:2" x14ac:dyDescent="0.25">
      <c r="A89" s="1" t="s">
        <v>62</v>
      </c>
      <c r="B89" s="6">
        <v>1463.8</v>
      </c>
    </row>
    <row r="90" spans="1:2" x14ac:dyDescent="0.25">
      <c r="A90" s="1" t="s">
        <v>107</v>
      </c>
      <c r="B90" s="6">
        <v>802.11</v>
      </c>
    </row>
    <row r="91" spans="1:2" x14ac:dyDescent="0.25">
      <c r="A91" s="1" t="s">
        <v>88</v>
      </c>
      <c r="B91" s="6">
        <f>9747+7347</f>
        <v>17094</v>
      </c>
    </row>
    <row r="92" spans="1:2" x14ac:dyDescent="0.25">
      <c r="A92" s="1" t="s">
        <v>19</v>
      </c>
      <c r="B92" s="6">
        <v>3990</v>
      </c>
    </row>
    <row r="93" spans="1:2" x14ac:dyDescent="0.25">
      <c r="A93" s="1" t="s">
        <v>59</v>
      </c>
      <c r="B93" s="6">
        <v>3000</v>
      </c>
    </row>
    <row r="94" spans="1:2" x14ac:dyDescent="0.25">
      <c r="A94" s="1" t="s">
        <v>15</v>
      </c>
      <c r="B94" s="6">
        <f>725+1705+374+1725+679.5+2470+400</f>
        <v>8078.5</v>
      </c>
    </row>
    <row r="95" spans="1:2" x14ac:dyDescent="0.25">
      <c r="A95" s="1" t="s">
        <v>44</v>
      </c>
      <c r="B95" s="6">
        <f>1826.92+2009.3+828.94+1080</f>
        <v>5745.16</v>
      </c>
    </row>
    <row r="96" spans="1:2" x14ac:dyDescent="0.25">
      <c r="A96" s="1" t="s">
        <v>125</v>
      </c>
      <c r="B96" s="6">
        <v>900</v>
      </c>
    </row>
    <row r="97" spans="1:2" x14ac:dyDescent="0.25">
      <c r="A97" s="1" t="s">
        <v>11</v>
      </c>
      <c r="B97" s="6">
        <f>360+720+360+360+360+360+360+360+350+360+360+350+350+1738+650+3182+3360+1300+700+350+650+650+700+650</f>
        <v>18940</v>
      </c>
    </row>
    <row r="98" spans="1:2" x14ac:dyDescent="0.25">
      <c r="A98" s="1" t="s">
        <v>128</v>
      </c>
      <c r="B98" s="6">
        <f>1499+1450</f>
        <v>2949</v>
      </c>
    </row>
    <row r="99" spans="1:2" x14ac:dyDescent="0.25">
      <c r="A99" s="1" t="s">
        <v>33</v>
      </c>
      <c r="B99" s="6">
        <f>88+30+140+53+116+43+242+95+100+52+90+18+41+43+50+35+86+20+35+25+20+55+35+66+37+20+344+45+22+69</f>
        <v>2115</v>
      </c>
    </row>
    <row r="100" spans="1:2" x14ac:dyDescent="0.25">
      <c r="A100" s="1" t="s">
        <v>3</v>
      </c>
      <c r="B100" s="6">
        <f>13200+13200+13200+13200+13200+13200+13200+13200+16060+282.26+16060+16060+16060+32120+16060+16060+16060</f>
        <v>250422.26</v>
      </c>
    </row>
    <row r="101" spans="1:2" x14ac:dyDescent="0.25">
      <c r="A101" s="1" t="s">
        <v>25</v>
      </c>
      <c r="B101" s="6">
        <f>250+54+200+300+300+300+433.77+867.54+500+500</f>
        <v>3705.31</v>
      </c>
    </row>
    <row r="102" spans="1:2" x14ac:dyDescent="0.25">
      <c r="A102" s="1" t="s">
        <v>58</v>
      </c>
      <c r="B102" s="6">
        <f>20791.2+10800+3700.08</f>
        <v>35291.279999999999</v>
      </c>
    </row>
    <row r="103" spans="1:2" x14ac:dyDescent="0.25">
      <c r="A103" s="1" t="s">
        <v>146</v>
      </c>
      <c r="B103" s="6">
        <v>15200.64</v>
      </c>
    </row>
    <row r="104" spans="1:2" x14ac:dyDescent="0.25">
      <c r="A104" s="1" t="s">
        <v>115</v>
      </c>
      <c r="B104" s="6">
        <f>4247.46+1924.32+334.62+2935.8+515.64</f>
        <v>9957.84</v>
      </c>
    </row>
    <row r="105" spans="1:2" x14ac:dyDescent="0.25">
      <c r="A105" s="1" t="s">
        <v>64</v>
      </c>
      <c r="B105" s="6">
        <f>222.55+2090.04+1901.82+5064.97+2568.42+96+84.6+291+48+728.41</f>
        <v>13095.810000000001</v>
      </c>
    </row>
    <row r="106" spans="1:2" x14ac:dyDescent="0.25">
      <c r="A106" s="1" t="s">
        <v>132</v>
      </c>
      <c r="B106" s="6">
        <f>5334.8+1034.96+993.97+1475.53+499.8+98.94+2650.67+405+11396.47</f>
        <v>23890.14</v>
      </c>
    </row>
    <row r="107" spans="1:2" x14ac:dyDescent="0.25">
      <c r="A107" s="1" t="s">
        <v>69</v>
      </c>
      <c r="B107" s="6">
        <f>10899+4167</f>
        <v>15066</v>
      </c>
    </row>
    <row r="108" spans="1:2" x14ac:dyDescent="0.25">
      <c r="A108" s="1" t="s">
        <v>139</v>
      </c>
      <c r="B108" s="6">
        <v>2820</v>
      </c>
    </row>
    <row r="109" spans="1:2" x14ac:dyDescent="0.25">
      <c r="A109" s="1" t="s">
        <v>131</v>
      </c>
      <c r="B109" s="6">
        <f>4000+4000+4000+7300+4000</f>
        <v>23300</v>
      </c>
    </row>
    <row r="110" spans="1:2" x14ac:dyDescent="0.25">
      <c r="A110" s="1" t="s">
        <v>7</v>
      </c>
      <c r="B110" s="6">
        <f>1000+1242.24+1500+1500+1500+1500+1500+1500+1265+1200+1500+3300+3300+1500+4346+1500+1500+6480+1500</f>
        <v>38633.24</v>
      </c>
    </row>
    <row r="111" spans="1:2" x14ac:dyDescent="0.25">
      <c r="A111" s="1" t="s">
        <v>16</v>
      </c>
      <c r="B111" s="6">
        <f>67.5+941.96+98.28+631.48+196.56+2804.24+1165.26+240.5+6453+17812.6+53.97+284.7+214.56+984.47+1201.49+93.84+178.02+242.89+791.94+321.84+61.98+3602.77+1276.92+61.98+5844.4+1300+77.89+129.53+773.8+3533+378.98+2862+427+594+241.61</f>
        <v>55944.959999999999</v>
      </c>
    </row>
    <row r="112" spans="1:2" x14ac:dyDescent="0.25">
      <c r="A112" s="1" t="s">
        <v>81</v>
      </c>
      <c r="B112" s="6">
        <f>1800+1800</f>
        <v>3600</v>
      </c>
    </row>
    <row r="113" spans="1:2" x14ac:dyDescent="0.25">
      <c r="A113" s="1" t="s">
        <v>117</v>
      </c>
      <c r="B113" s="6">
        <v>799.2</v>
      </c>
    </row>
    <row r="114" spans="1:2" x14ac:dyDescent="0.25">
      <c r="A114" s="1" t="s">
        <v>102</v>
      </c>
      <c r="B114" s="6">
        <f>974.86+660.18</f>
        <v>1635.04</v>
      </c>
    </row>
    <row r="115" spans="1:2" x14ac:dyDescent="0.25">
      <c r="A115" s="1" t="s">
        <v>26</v>
      </c>
      <c r="B115" s="6">
        <f>790+2500+1500</f>
        <v>4790</v>
      </c>
    </row>
    <row r="116" spans="1:2" x14ac:dyDescent="0.25">
      <c r="A116" s="1" t="s">
        <v>133</v>
      </c>
      <c r="B116" s="6">
        <v>2570</v>
      </c>
    </row>
    <row r="117" spans="1:2" x14ac:dyDescent="0.25">
      <c r="A117" s="1" t="s">
        <v>110</v>
      </c>
      <c r="B117" s="6">
        <v>7500</v>
      </c>
    </row>
    <row r="118" spans="1:2" x14ac:dyDescent="0.25">
      <c r="A118" s="1" t="s">
        <v>68</v>
      </c>
      <c r="B118" s="6">
        <v>900</v>
      </c>
    </row>
    <row r="119" spans="1:2" x14ac:dyDescent="0.25">
      <c r="A119" s="1" t="s">
        <v>9</v>
      </c>
      <c r="B119" s="6">
        <f>333.2+412.47+791.06+128.74+382.61+502.64+605.25+498.89+533.75+386.64+2931.66</f>
        <v>7506.91</v>
      </c>
    </row>
    <row r="120" spans="1:2" x14ac:dyDescent="0.25">
      <c r="A120" s="1" t="s">
        <v>66</v>
      </c>
      <c r="B120" s="6">
        <v>4698</v>
      </c>
    </row>
    <row r="121" spans="1:2" x14ac:dyDescent="0.25">
      <c r="A121" s="1" t="s">
        <v>80</v>
      </c>
      <c r="B121" s="6">
        <v>2899</v>
      </c>
    </row>
    <row r="122" spans="1:2" x14ac:dyDescent="0.25">
      <c r="A122" s="1" t="s">
        <v>123</v>
      </c>
      <c r="B122" s="6">
        <v>720</v>
      </c>
    </row>
    <row r="123" spans="1:2" x14ac:dyDescent="0.25">
      <c r="A123" s="1" t="s">
        <v>141</v>
      </c>
      <c r="B123" s="6">
        <v>2913.06</v>
      </c>
    </row>
    <row r="124" spans="1:2" x14ac:dyDescent="0.25">
      <c r="A124" s="1" t="s">
        <v>50</v>
      </c>
      <c r="B124" s="6">
        <v>3000</v>
      </c>
    </row>
    <row r="125" spans="1:2" x14ac:dyDescent="0.25">
      <c r="A125" s="1" t="s">
        <v>39</v>
      </c>
      <c r="B125" s="6">
        <v>24840</v>
      </c>
    </row>
    <row r="126" spans="1:2" x14ac:dyDescent="0.25">
      <c r="A126" s="1" t="s">
        <v>119</v>
      </c>
      <c r="B126" s="6">
        <v>803.1</v>
      </c>
    </row>
    <row r="127" spans="1:2" x14ac:dyDescent="0.25">
      <c r="A127" s="1" t="s">
        <v>85</v>
      </c>
      <c r="B127" s="6">
        <f>858+1063</f>
        <v>1921</v>
      </c>
    </row>
    <row r="128" spans="1:2" x14ac:dyDescent="0.25">
      <c r="A128" s="1" t="s">
        <v>90</v>
      </c>
      <c r="B128" s="6">
        <v>2940.95</v>
      </c>
    </row>
    <row r="129" spans="1:2" x14ac:dyDescent="0.25">
      <c r="A129" s="1" t="s">
        <v>77</v>
      </c>
      <c r="B129" s="6">
        <v>390.76</v>
      </c>
    </row>
    <row r="130" spans="1:2" x14ac:dyDescent="0.25">
      <c r="A130" s="1" t="s">
        <v>105</v>
      </c>
      <c r="B130" s="6">
        <v>2928</v>
      </c>
    </row>
    <row r="131" spans="1:2" x14ac:dyDescent="0.25">
      <c r="A131" s="1" t="s">
        <v>35</v>
      </c>
      <c r="B131" s="6">
        <v>191.76</v>
      </c>
    </row>
    <row r="132" spans="1:2" x14ac:dyDescent="0.25">
      <c r="A132" s="1" t="s">
        <v>124</v>
      </c>
      <c r="B132" s="6">
        <f>2319.6+63.5+490.55+298.08+1121.52+6841.5+217.1+933.96</f>
        <v>12285.810000000001</v>
      </c>
    </row>
    <row r="133" spans="1:2" x14ac:dyDescent="0.25">
      <c r="A133" s="1" t="s">
        <v>87</v>
      </c>
      <c r="B133" s="6">
        <v>475</v>
      </c>
    </row>
    <row r="134" spans="1:2" x14ac:dyDescent="0.25">
      <c r="A134" s="1" t="s">
        <v>129</v>
      </c>
      <c r="B134" s="6">
        <v>336</v>
      </c>
    </row>
    <row r="135" spans="1:2" x14ac:dyDescent="0.25">
      <c r="A135" s="1" t="s">
        <v>95</v>
      </c>
      <c r="B135" s="6">
        <v>575</v>
      </c>
    </row>
    <row r="136" spans="1:2" x14ac:dyDescent="0.25">
      <c r="A136" s="1" t="s">
        <v>72</v>
      </c>
      <c r="B136" s="6">
        <v>569.48</v>
      </c>
    </row>
    <row r="137" spans="1:2" x14ac:dyDescent="0.25">
      <c r="A137" s="1" t="s">
        <v>114</v>
      </c>
      <c r="B137" s="6">
        <f>1355+911</f>
        <v>2266</v>
      </c>
    </row>
    <row r="138" spans="1:2" x14ac:dyDescent="0.25">
      <c r="A138" s="1" t="s">
        <v>104</v>
      </c>
      <c r="B138" s="6">
        <v>1806.4</v>
      </c>
    </row>
    <row r="139" spans="1:2" x14ac:dyDescent="0.25">
      <c r="A139" s="1" t="s">
        <v>5</v>
      </c>
      <c r="B139" s="6">
        <f>1605.15+1208.72+1295.16+390.45+14.41+111.75+702.72+1365.68+1146.14+299.41+84.1+96.24+48.6+329.22+142+1571.4+1002.47+904.21+60.84+78.96+995+134.03+955.75+800+165.2+698.51+487.45+271.5+249+105+100.44+374.01+99.29+403.48+162.52+4141+11138.52+248.4+1975.91+100+1156.15+919.82+323.23+179.81</f>
        <v>38641.650000000009</v>
      </c>
    </row>
    <row r="140" spans="1:2" x14ac:dyDescent="0.25">
      <c r="A140" s="1" t="s">
        <v>45</v>
      </c>
      <c r="B140" s="6">
        <v>1200</v>
      </c>
    </row>
    <row r="141" spans="1:2" x14ac:dyDescent="0.25">
      <c r="A141" s="1" t="s">
        <v>96</v>
      </c>
      <c r="B141" s="6">
        <v>15950</v>
      </c>
    </row>
    <row r="142" spans="1:2" x14ac:dyDescent="0.25">
      <c r="A142" s="1" t="s">
        <v>37</v>
      </c>
      <c r="B142" s="6">
        <v>2999.16</v>
      </c>
    </row>
    <row r="143" spans="1:2" x14ac:dyDescent="0.25">
      <c r="A143" s="1" t="s">
        <v>89</v>
      </c>
      <c r="B143" s="6">
        <f>2013.67+967.11+1700.25</f>
        <v>4681.0300000000007</v>
      </c>
    </row>
    <row r="144" spans="1:2" x14ac:dyDescent="0.25">
      <c r="A144" s="1" t="s">
        <v>70</v>
      </c>
      <c r="B144" s="6">
        <v>7832</v>
      </c>
    </row>
    <row r="145" spans="1:2" x14ac:dyDescent="0.25">
      <c r="A145" s="1" t="s">
        <v>137</v>
      </c>
      <c r="B145" s="6">
        <v>1496.81</v>
      </c>
    </row>
    <row r="146" spans="1:2" x14ac:dyDescent="0.25">
      <c r="A146" s="1" t="s">
        <v>42</v>
      </c>
      <c r="B146" s="6">
        <v>6315</v>
      </c>
    </row>
    <row r="147" spans="1:2" ht="15.75" thickBot="1" x14ac:dyDescent="0.3">
      <c r="A147" s="8" t="s">
        <v>101</v>
      </c>
      <c r="B147" s="9">
        <v>342.5</v>
      </c>
    </row>
    <row r="148" spans="1:2" ht="15.75" thickBot="1" x14ac:dyDescent="0.3">
      <c r="A148" s="3" t="s">
        <v>148</v>
      </c>
      <c r="B148" s="10">
        <f>SUM(B3:B147)</f>
        <v>2244054.5399999996</v>
      </c>
    </row>
  </sheetData>
  <sortState ref="A4:B147">
    <sortCondition ref="A3"/>
  </sortState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B1"/>
    </sheetView>
  </sheetViews>
  <sheetFormatPr defaultColWidth="8.85546875" defaultRowHeight="15" x14ac:dyDescent="0.25"/>
  <cols>
    <col min="1" max="1" width="78.7109375" customWidth="1"/>
    <col min="2" max="2" width="16.28515625" customWidth="1"/>
    <col min="3" max="3" width="12" hidden="1" customWidth="1"/>
    <col min="4" max="4" width="10.28515625" hidden="1" customWidth="1"/>
    <col min="5" max="5" width="9.140625" hidden="1" customWidth="1"/>
    <col min="6" max="6" width="10.140625" hidden="1" customWidth="1"/>
    <col min="7" max="9" width="10.28515625" hidden="1" customWidth="1"/>
  </cols>
  <sheetData>
    <row r="1" spans="1:9" ht="39" customHeight="1" thickBot="1" x14ac:dyDescent="0.4">
      <c r="A1" s="151" t="s">
        <v>346</v>
      </c>
      <c r="B1" s="152"/>
      <c r="C1" s="69"/>
    </row>
    <row r="2" spans="1:9" ht="19.5" thickBot="1" x14ac:dyDescent="0.35">
      <c r="A2" s="73" t="s">
        <v>0</v>
      </c>
      <c r="B2" s="73" t="s">
        <v>1</v>
      </c>
      <c r="C2" s="25" t="s">
        <v>236</v>
      </c>
      <c r="D2" s="22">
        <v>7</v>
      </c>
      <c r="E2" s="22">
        <v>8</v>
      </c>
      <c r="F2" s="22">
        <v>9</v>
      </c>
      <c r="G2" s="22">
        <v>10</v>
      </c>
      <c r="H2" s="22">
        <v>11</v>
      </c>
      <c r="I2" s="22">
        <v>12</v>
      </c>
    </row>
    <row r="3" spans="1:9" ht="18.75" x14ac:dyDescent="0.3">
      <c r="A3" s="75" t="s">
        <v>335</v>
      </c>
      <c r="B3" s="74"/>
      <c r="C3" s="28"/>
      <c r="D3" s="8"/>
      <c r="E3" s="8"/>
      <c r="F3" s="8"/>
      <c r="G3" s="8"/>
      <c r="H3" s="8"/>
      <c r="I3" s="8"/>
    </row>
    <row r="4" spans="1:9" s="18" customFormat="1" ht="18.75" x14ac:dyDescent="0.3">
      <c r="A4" s="100" t="s">
        <v>317</v>
      </c>
      <c r="B4" s="74">
        <v>54622.64</v>
      </c>
      <c r="C4" s="29">
        <f>165.2+698.51+487.45+271.5+249+105+100.44+374.01+99.29+403.48+162.52+4141+11138.52+248.4+1975.91+100+1156.15+919.82+323.23+179.81</f>
        <v>23299.24</v>
      </c>
      <c r="D4" s="24">
        <f>1911.72+970+1314.3</f>
        <v>4196.0200000000004</v>
      </c>
      <c r="E4" s="24">
        <f>289.68+39+406+121.62-5.01</f>
        <v>851.29000000000008</v>
      </c>
      <c r="F4" s="24">
        <f>601.68</f>
        <v>601.67999999999995</v>
      </c>
      <c r="G4" s="24">
        <f>622.5+345.28+795.08</f>
        <v>1762.8600000000001</v>
      </c>
      <c r="H4" s="24">
        <f>72+2173.8+366</f>
        <v>2611.8000000000002</v>
      </c>
      <c r="I4" s="24">
        <f>298.64+311+305.4+371</f>
        <v>1286.04</v>
      </c>
    </row>
    <row r="5" spans="1:9" ht="18.75" x14ac:dyDescent="0.3">
      <c r="A5" s="101" t="s">
        <v>166</v>
      </c>
      <c r="B5" s="74">
        <f t="shared" ref="B5:B25" si="0">SUM(C5:I5)</f>
        <v>15915.98</v>
      </c>
      <c r="C5" s="28"/>
      <c r="D5" s="8">
        <f>10211.54+2455.14</f>
        <v>12666.68</v>
      </c>
      <c r="E5" s="8">
        <v>3249.3</v>
      </c>
      <c r="F5" s="8"/>
      <c r="G5" s="8"/>
      <c r="H5" s="8"/>
      <c r="I5" s="8"/>
    </row>
    <row r="6" spans="1:9" ht="18.75" x14ac:dyDescent="0.3">
      <c r="A6" s="101" t="s">
        <v>325</v>
      </c>
      <c r="B6" s="74">
        <f t="shared" si="0"/>
        <v>1451</v>
      </c>
      <c r="C6" s="28"/>
      <c r="D6" s="8"/>
      <c r="E6" s="8"/>
      <c r="F6" s="8"/>
      <c r="G6" s="8">
        <v>1451</v>
      </c>
      <c r="H6" s="8"/>
      <c r="I6" s="8"/>
    </row>
    <row r="7" spans="1:9" s="86" customFormat="1" ht="18.75" x14ac:dyDescent="0.3">
      <c r="A7" s="101" t="s">
        <v>314</v>
      </c>
      <c r="B7" s="101">
        <f t="shared" si="0"/>
        <v>19310.440000000002</v>
      </c>
      <c r="C7" s="84"/>
      <c r="D7" s="85">
        <v>16192.36</v>
      </c>
      <c r="E7" s="85">
        <v>3118.08</v>
      </c>
      <c r="F7" s="85"/>
      <c r="G7" s="85"/>
      <c r="H7" s="85"/>
      <c r="I7" s="85"/>
    </row>
    <row r="8" spans="1:9" ht="18.75" x14ac:dyDescent="0.3">
      <c r="A8" s="101" t="s">
        <v>172</v>
      </c>
      <c r="B8" s="74">
        <f t="shared" si="0"/>
        <v>13266.31</v>
      </c>
      <c r="C8" s="28"/>
      <c r="D8" s="8">
        <f>3081+7022.89+3162.42</f>
        <v>13266.31</v>
      </c>
      <c r="E8" s="8"/>
      <c r="F8" s="8"/>
      <c r="G8" s="8"/>
      <c r="H8" s="8"/>
      <c r="I8" s="8"/>
    </row>
    <row r="9" spans="1:9" ht="18.75" x14ac:dyDescent="0.3">
      <c r="A9" s="101" t="s">
        <v>327</v>
      </c>
      <c r="B9" s="74">
        <f t="shared" si="0"/>
        <v>3132.96</v>
      </c>
      <c r="C9" s="28"/>
      <c r="D9" s="8">
        <v>2562</v>
      </c>
      <c r="E9" s="8">
        <v>570.96</v>
      </c>
      <c r="F9" s="8"/>
      <c r="G9" s="8"/>
      <c r="H9" s="8"/>
      <c r="I9" s="8"/>
    </row>
    <row r="10" spans="1:9" ht="18.75" x14ac:dyDescent="0.3">
      <c r="A10" s="101" t="s">
        <v>328</v>
      </c>
      <c r="B10" s="74">
        <f t="shared" si="0"/>
        <v>3531.62</v>
      </c>
      <c r="C10" s="28"/>
      <c r="D10" s="8">
        <f>731.58+2800.04</f>
        <v>3531.62</v>
      </c>
      <c r="E10" s="8"/>
      <c r="F10" s="8"/>
      <c r="G10" s="8"/>
      <c r="H10" s="8"/>
      <c r="I10" s="8"/>
    </row>
    <row r="11" spans="1:9" s="89" customFormat="1" ht="18.75" x14ac:dyDescent="0.3">
      <c r="A11" s="101" t="s">
        <v>173</v>
      </c>
      <c r="B11" s="101">
        <f t="shared" si="0"/>
        <v>5000</v>
      </c>
      <c r="C11" s="87"/>
      <c r="D11" s="88">
        <v>5000</v>
      </c>
      <c r="E11" s="88"/>
      <c r="F11" s="88"/>
      <c r="G11" s="88"/>
      <c r="H11" s="88"/>
      <c r="I11" s="88"/>
    </row>
    <row r="12" spans="1:9" s="89" customFormat="1" ht="18.75" x14ac:dyDescent="0.3">
      <c r="A12" s="101" t="s">
        <v>252</v>
      </c>
      <c r="B12" s="101">
        <f t="shared" si="0"/>
        <v>800.98</v>
      </c>
      <c r="C12" s="87"/>
      <c r="D12" s="88"/>
      <c r="E12" s="88">
        <v>800.98</v>
      </c>
      <c r="F12" s="88"/>
      <c r="G12" s="88"/>
      <c r="H12" s="88"/>
      <c r="I12" s="88"/>
    </row>
    <row r="13" spans="1:9" ht="18.75" x14ac:dyDescent="0.3">
      <c r="A13" s="101" t="s">
        <v>321</v>
      </c>
      <c r="B13" s="74">
        <f t="shared" si="0"/>
        <v>3051.72</v>
      </c>
      <c r="C13" s="28"/>
      <c r="D13" s="8">
        <v>3051.72</v>
      </c>
      <c r="E13" s="8"/>
      <c r="F13" s="8"/>
      <c r="G13" s="8"/>
      <c r="H13" s="8"/>
      <c r="I13" s="8"/>
    </row>
    <row r="14" spans="1:9" s="18" customFormat="1" ht="18.75" x14ac:dyDescent="0.3">
      <c r="A14" s="100" t="s">
        <v>323</v>
      </c>
      <c r="B14" s="74">
        <f t="shared" si="0"/>
        <v>768.79</v>
      </c>
      <c r="C14" s="29">
        <v>768.79</v>
      </c>
      <c r="D14" s="24"/>
      <c r="E14" s="24"/>
      <c r="F14" s="24"/>
      <c r="G14" s="24"/>
      <c r="H14" s="24"/>
      <c r="I14" s="24"/>
    </row>
    <row r="15" spans="1:9" ht="18.75" x14ac:dyDescent="0.3">
      <c r="A15" s="101" t="s">
        <v>279</v>
      </c>
      <c r="B15" s="74">
        <f t="shared" si="0"/>
        <v>10676.4</v>
      </c>
      <c r="C15" s="28"/>
      <c r="D15" s="8">
        <v>10676.4</v>
      </c>
      <c r="E15" s="8"/>
      <c r="F15" s="8"/>
      <c r="G15" s="8"/>
      <c r="H15" s="8"/>
      <c r="I15" s="8"/>
    </row>
    <row r="16" spans="1:9" ht="18.75" x14ac:dyDescent="0.3">
      <c r="A16" s="101" t="s">
        <v>291</v>
      </c>
      <c r="B16" s="74">
        <f t="shared" si="0"/>
        <v>1089</v>
      </c>
      <c r="C16" s="28"/>
      <c r="D16" s="8">
        <v>1089</v>
      </c>
      <c r="E16" s="8"/>
      <c r="F16" s="8"/>
      <c r="G16" s="8"/>
      <c r="H16" s="8"/>
      <c r="I16" s="8"/>
    </row>
    <row r="17" spans="1:9" ht="18.75" x14ac:dyDescent="0.3">
      <c r="A17" s="101" t="s">
        <v>295</v>
      </c>
      <c r="B17" s="74">
        <f t="shared" si="0"/>
        <v>11800</v>
      </c>
      <c r="C17" s="28"/>
      <c r="D17" s="8">
        <v>11800</v>
      </c>
      <c r="E17" s="8"/>
      <c r="F17" s="8"/>
      <c r="G17" s="8"/>
      <c r="H17" s="8"/>
      <c r="I17" s="8"/>
    </row>
    <row r="18" spans="1:9" ht="18.75" x14ac:dyDescent="0.3">
      <c r="A18" s="101" t="s">
        <v>292</v>
      </c>
      <c r="B18" s="74">
        <f t="shared" si="0"/>
        <v>1107</v>
      </c>
      <c r="C18" s="28"/>
      <c r="D18" s="8"/>
      <c r="E18" s="8">
        <v>1107</v>
      </c>
      <c r="F18" s="8"/>
      <c r="G18" s="8"/>
      <c r="H18" s="8"/>
      <c r="I18" s="8"/>
    </row>
    <row r="19" spans="1:9" s="18" customFormat="1" ht="18.75" x14ac:dyDescent="0.3">
      <c r="A19" s="100" t="s">
        <v>269</v>
      </c>
      <c r="B19" s="99">
        <f t="shared" si="0"/>
        <v>42060</v>
      </c>
      <c r="C19" s="29"/>
      <c r="D19" s="24">
        <v>21030</v>
      </c>
      <c r="E19" s="24"/>
      <c r="F19" s="24">
        <v>21030</v>
      </c>
      <c r="G19" s="24"/>
      <c r="H19" s="24"/>
      <c r="I19" s="24"/>
    </row>
    <row r="20" spans="1:9" ht="18.75" x14ac:dyDescent="0.3">
      <c r="A20" s="101" t="s">
        <v>330</v>
      </c>
      <c r="B20" s="74">
        <f t="shared" si="0"/>
        <v>15000</v>
      </c>
      <c r="C20" s="28"/>
      <c r="D20" s="8">
        <v>15000</v>
      </c>
      <c r="E20" s="8"/>
      <c r="F20" s="8"/>
      <c r="G20" s="8"/>
      <c r="H20" s="8"/>
      <c r="I20" s="8"/>
    </row>
    <row r="21" spans="1:9" ht="18.75" x14ac:dyDescent="0.3">
      <c r="A21" s="101" t="s">
        <v>333</v>
      </c>
      <c r="B21" s="74">
        <f t="shared" si="0"/>
        <v>3353.6</v>
      </c>
      <c r="C21" s="28"/>
      <c r="D21" s="8"/>
      <c r="E21" s="8">
        <v>1800</v>
      </c>
      <c r="F21" s="8"/>
      <c r="G21" s="8"/>
      <c r="H21" s="8"/>
      <c r="I21" s="8">
        <f>172.8+1380.8</f>
        <v>1553.6</v>
      </c>
    </row>
    <row r="22" spans="1:9" ht="18.75" x14ac:dyDescent="0.3">
      <c r="A22" s="101" t="s">
        <v>332</v>
      </c>
      <c r="B22" s="74">
        <f t="shared" si="0"/>
        <v>13062.259999999998</v>
      </c>
      <c r="C22" s="28"/>
      <c r="D22" s="8">
        <f>1190.54+11871.72</f>
        <v>13062.259999999998</v>
      </c>
      <c r="E22" s="8"/>
      <c r="F22" s="8"/>
      <c r="G22" s="8"/>
      <c r="H22" s="8"/>
      <c r="I22" s="8"/>
    </row>
    <row r="23" spans="1:9" s="18" customFormat="1" ht="18.75" x14ac:dyDescent="0.3">
      <c r="A23" s="100" t="s">
        <v>134</v>
      </c>
      <c r="B23" s="74">
        <f t="shared" si="0"/>
        <v>3414.02</v>
      </c>
      <c r="C23" s="30">
        <f>3288.02+126</f>
        <v>3414.02</v>
      </c>
      <c r="D23" s="24"/>
      <c r="E23" s="24"/>
      <c r="F23" s="24"/>
      <c r="G23" s="24"/>
      <c r="H23" s="24"/>
      <c r="I23" s="24"/>
    </row>
    <row r="24" spans="1:9" s="83" customFormat="1" ht="18.75" x14ac:dyDescent="0.3">
      <c r="A24" s="100" t="s">
        <v>326</v>
      </c>
      <c r="B24" s="101">
        <f t="shared" si="0"/>
        <v>1800</v>
      </c>
      <c r="C24" s="81">
        <f>1800</f>
        <v>1800</v>
      </c>
      <c r="D24" s="82"/>
      <c r="E24" s="82"/>
      <c r="F24" s="82"/>
      <c r="G24" s="82"/>
      <c r="H24" s="82"/>
      <c r="I24" s="82"/>
    </row>
    <row r="25" spans="1:9" ht="18.75" x14ac:dyDescent="0.3">
      <c r="A25" s="101" t="s">
        <v>324</v>
      </c>
      <c r="B25" s="74">
        <f t="shared" si="0"/>
        <v>1820.2</v>
      </c>
      <c r="C25" s="28"/>
      <c r="D25" s="8"/>
      <c r="E25" s="8">
        <v>1820.2</v>
      </c>
      <c r="F25" s="8"/>
      <c r="G25" s="8"/>
      <c r="H25" s="8"/>
      <c r="I25" s="8"/>
    </row>
    <row r="26" spans="1:9" ht="18.75" x14ac:dyDescent="0.3">
      <c r="A26" s="101" t="s">
        <v>316</v>
      </c>
      <c r="B26" s="74">
        <f>SUM(C26:I26)+2507</f>
        <v>9107</v>
      </c>
      <c r="C26" s="28"/>
      <c r="D26" s="8"/>
      <c r="E26" s="8"/>
      <c r="F26" s="8"/>
      <c r="G26" s="8">
        <v>6600</v>
      </c>
      <c r="H26" s="8"/>
      <c r="I26" s="8"/>
    </row>
    <row r="27" spans="1:9" ht="18.75" x14ac:dyDescent="0.3">
      <c r="A27" s="101" t="s">
        <v>192</v>
      </c>
      <c r="B27" s="74">
        <f>SUM(C27:I27)</f>
        <v>490.2</v>
      </c>
      <c r="C27" s="28"/>
      <c r="D27" s="8"/>
      <c r="E27" s="8">
        <v>490.2</v>
      </c>
      <c r="F27" s="8"/>
      <c r="G27" s="8"/>
      <c r="H27" s="8"/>
      <c r="I27" s="8"/>
    </row>
    <row r="28" spans="1:9" ht="18.75" x14ac:dyDescent="0.3">
      <c r="A28" s="101" t="s">
        <v>212</v>
      </c>
      <c r="B28" s="74">
        <f>SUM(C28:I28)</f>
        <v>2285</v>
      </c>
      <c r="C28" s="28"/>
      <c r="D28" s="8"/>
      <c r="E28" s="8"/>
      <c r="F28" s="8">
        <v>2285</v>
      </c>
      <c r="G28" s="8"/>
      <c r="H28" s="8"/>
      <c r="I28" s="8"/>
    </row>
    <row r="29" spans="1:9" ht="18.75" x14ac:dyDescent="0.3">
      <c r="A29" s="101" t="s">
        <v>230</v>
      </c>
      <c r="B29" s="74">
        <f>SUM(C29:I29)</f>
        <v>973.2</v>
      </c>
      <c r="C29" s="28"/>
      <c r="D29" s="8"/>
      <c r="E29" s="8"/>
      <c r="F29" s="8"/>
      <c r="G29" s="8"/>
      <c r="H29" s="8">
        <v>973.2</v>
      </c>
      <c r="I29" s="8"/>
    </row>
    <row r="30" spans="1:9" ht="18.75" x14ac:dyDescent="0.3">
      <c r="A30" s="101" t="s">
        <v>235</v>
      </c>
      <c r="B30" s="74">
        <f>SUM(C30:I30)</f>
        <v>420</v>
      </c>
      <c r="C30" s="28"/>
      <c r="D30" s="8"/>
      <c r="E30" s="8"/>
      <c r="F30" s="8"/>
      <c r="G30" s="8"/>
      <c r="H30" s="8"/>
      <c r="I30" s="8">
        <v>420</v>
      </c>
    </row>
    <row r="31" spans="1:9" ht="19.5" thickBot="1" x14ac:dyDescent="0.35">
      <c r="A31" s="101" t="s">
        <v>329</v>
      </c>
      <c r="B31" s="74">
        <f>SUM(C31:I31)</f>
        <v>37986</v>
      </c>
      <c r="C31" s="28"/>
      <c r="D31" s="8">
        <v>37986</v>
      </c>
      <c r="E31" s="8"/>
      <c r="F31" s="8"/>
      <c r="G31" s="8"/>
      <c r="H31" s="8"/>
      <c r="I31" s="8"/>
    </row>
    <row r="32" spans="1:9" ht="19.5" hidden="1" thickBot="1" x14ac:dyDescent="0.35">
      <c r="A32" s="47"/>
      <c r="B32" s="48"/>
      <c r="C32" s="31"/>
      <c r="D32" s="11"/>
      <c r="E32" s="11"/>
      <c r="F32" s="11"/>
      <c r="G32" s="11"/>
      <c r="H32" s="11"/>
      <c r="I32" s="11"/>
    </row>
    <row r="33" spans="1:9" ht="19.5" hidden="1" thickBot="1" x14ac:dyDescent="0.35">
      <c r="A33" s="47"/>
      <c r="B33" s="48"/>
      <c r="C33" s="31"/>
      <c r="D33" s="11"/>
      <c r="E33" s="11"/>
      <c r="F33" s="11"/>
      <c r="G33" s="11"/>
      <c r="H33" s="11"/>
      <c r="I33" s="11"/>
    </row>
    <row r="34" spans="1:9" ht="19.5" hidden="1" thickBot="1" x14ac:dyDescent="0.35">
      <c r="A34" s="47"/>
      <c r="B34" s="48"/>
      <c r="C34" s="31"/>
      <c r="D34" s="11"/>
      <c r="E34" s="11"/>
      <c r="F34" s="11"/>
      <c r="G34" s="11"/>
      <c r="H34" s="11"/>
      <c r="I34" s="11"/>
    </row>
    <row r="35" spans="1:9" ht="19.5" hidden="1" thickBot="1" x14ac:dyDescent="0.35">
      <c r="A35" s="47"/>
      <c r="B35" s="48"/>
      <c r="C35" s="31"/>
      <c r="D35" s="11"/>
      <c r="E35" s="11"/>
      <c r="F35" s="11"/>
      <c r="G35" s="11"/>
      <c r="H35" s="11"/>
      <c r="I35" s="11"/>
    </row>
    <row r="36" spans="1:9" ht="19.5" hidden="1" thickBot="1" x14ac:dyDescent="0.35">
      <c r="A36" s="47"/>
      <c r="B36" s="48"/>
      <c r="C36" s="31"/>
      <c r="D36" s="11"/>
      <c r="E36" s="11"/>
      <c r="F36" s="11"/>
      <c r="G36" s="11"/>
      <c r="H36" s="11"/>
      <c r="I36" s="11"/>
    </row>
    <row r="37" spans="1:9" ht="19.5" hidden="1" thickBot="1" x14ac:dyDescent="0.35">
      <c r="A37" s="47"/>
      <c r="B37" s="48">
        <f t="shared" ref="B37" si="1">SUM(D37:G37)</f>
        <v>0</v>
      </c>
      <c r="C37" s="31"/>
      <c r="D37" s="11"/>
      <c r="E37" s="11"/>
      <c r="F37" s="11"/>
      <c r="G37" s="11"/>
      <c r="H37" s="11"/>
      <c r="I37" s="11"/>
    </row>
    <row r="38" spans="1:9" ht="19.5" thickBot="1" x14ac:dyDescent="0.35">
      <c r="A38" s="98" t="s">
        <v>336</v>
      </c>
      <c r="B38" s="90">
        <f>SUM(B4:B37)</f>
        <v>277296.32000000007</v>
      </c>
      <c r="C38" s="32">
        <f t="shared" ref="C38:I38" si="2">SUM(C3:C37)</f>
        <v>29282.050000000003</v>
      </c>
      <c r="D38" s="10">
        <f t="shared" si="2"/>
        <v>171110.37</v>
      </c>
      <c r="E38" s="10">
        <f t="shared" si="2"/>
        <v>13808.010000000002</v>
      </c>
      <c r="F38" s="10">
        <f t="shared" si="2"/>
        <v>23916.68</v>
      </c>
      <c r="G38" s="10">
        <f t="shared" si="2"/>
        <v>9813.86</v>
      </c>
      <c r="H38" s="10">
        <f t="shared" si="2"/>
        <v>3585</v>
      </c>
      <c r="I38" s="10">
        <f t="shared" si="2"/>
        <v>3259.64</v>
      </c>
    </row>
  </sheetData>
  <mergeCells count="1">
    <mergeCell ref="A1:B1"/>
  </mergeCells>
  <pageMargins left="0.2" right="0.2" top="0.24" bottom="0.75" header="0.24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K15" sqref="K15"/>
    </sheetView>
  </sheetViews>
  <sheetFormatPr defaultColWidth="8.85546875" defaultRowHeight="15" x14ac:dyDescent="0.25"/>
  <cols>
    <col min="1" max="1" width="76.85546875" customWidth="1"/>
    <col min="2" max="2" width="17" customWidth="1"/>
    <col min="3" max="3" width="12" hidden="1" customWidth="1"/>
    <col min="4" max="4" width="10.28515625" hidden="1" customWidth="1"/>
    <col min="5" max="5" width="9.140625" hidden="1" customWidth="1"/>
    <col min="6" max="6" width="10.140625" hidden="1" customWidth="1"/>
    <col min="7" max="8" width="10.28515625" hidden="1" customWidth="1"/>
    <col min="9" max="9" width="0.42578125" hidden="1" customWidth="1"/>
  </cols>
  <sheetData>
    <row r="1" spans="1:9" ht="33" customHeight="1" x14ac:dyDescent="0.3">
      <c r="A1" s="154" t="s">
        <v>395</v>
      </c>
      <c r="B1" s="154"/>
    </row>
    <row r="2" spans="1:9" ht="54" customHeight="1" thickBot="1" x14ac:dyDescent="0.4">
      <c r="A2" s="151" t="s">
        <v>344</v>
      </c>
      <c r="B2" s="152"/>
      <c r="C2" s="69"/>
    </row>
    <row r="3" spans="1:9" s="93" customFormat="1" ht="19.5" thickBot="1" x14ac:dyDescent="0.35">
      <c r="A3" s="75" t="s">
        <v>0</v>
      </c>
      <c r="B3" s="75" t="s">
        <v>1</v>
      </c>
      <c r="C3" s="91" t="s">
        <v>236</v>
      </c>
      <c r="D3" s="92">
        <v>7</v>
      </c>
      <c r="E3" s="92">
        <v>8</v>
      </c>
      <c r="F3" s="92">
        <v>9</v>
      </c>
      <c r="G3" s="92">
        <v>10</v>
      </c>
      <c r="H3" s="92">
        <v>11</v>
      </c>
      <c r="I3" s="92">
        <v>12</v>
      </c>
    </row>
    <row r="4" spans="1:9" ht="19.5" thickBot="1" x14ac:dyDescent="0.35">
      <c r="A4" s="102" t="s">
        <v>340</v>
      </c>
      <c r="B4" s="95">
        <v>954531.51</v>
      </c>
      <c r="C4" s="27"/>
      <c r="D4" s="71"/>
      <c r="E4" s="71"/>
      <c r="F4" s="71"/>
      <c r="G4" s="71"/>
      <c r="H4" s="71"/>
      <c r="I4" s="71"/>
    </row>
    <row r="5" spans="1:9" ht="19.5" thickBot="1" x14ac:dyDescent="0.35">
      <c r="A5" s="102" t="s">
        <v>341</v>
      </c>
      <c r="B5" s="95">
        <v>277296.32</v>
      </c>
      <c r="C5" s="27"/>
      <c r="D5" s="71"/>
      <c r="E5" s="71"/>
      <c r="F5" s="71"/>
      <c r="G5" s="71"/>
      <c r="H5" s="71"/>
      <c r="I5" s="71"/>
    </row>
    <row r="6" spans="1:9" ht="19.5" thickBot="1" x14ac:dyDescent="0.35">
      <c r="A6" s="102" t="s">
        <v>337</v>
      </c>
      <c r="B6" s="95">
        <v>165569.85</v>
      </c>
      <c r="C6" s="27"/>
      <c r="D6" s="71"/>
      <c r="E6" s="71"/>
      <c r="F6" s="71"/>
      <c r="G6" s="71"/>
      <c r="H6" s="71"/>
      <c r="I6" s="71"/>
    </row>
    <row r="7" spans="1:9" ht="19.5" thickBot="1" x14ac:dyDescent="0.35">
      <c r="A7" s="102" t="s">
        <v>338</v>
      </c>
      <c r="B7" s="96">
        <v>205998.13</v>
      </c>
      <c r="C7" s="27"/>
      <c r="D7" s="71"/>
      <c r="E7" s="71"/>
      <c r="F7" s="71"/>
      <c r="G7" s="71"/>
      <c r="H7" s="71"/>
      <c r="I7" s="71"/>
    </row>
    <row r="8" spans="1:9" ht="19.5" thickBot="1" x14ac:dyDescent="0.35">
      <c r="A8" s="102" t="s">
        <v>339</v>
      </c>
      <c r="B8" s="97">
        <v>340804.43</v>
      </c>
      <c r="C8" s="27"/>
      <c r="D8" s="71"/>
      <c r="E8" s="71"/>
      <c r="F8" s="71"/>
      <c r="G8" s="71"/>
      <c r="H8" s="71"/>
      <c r="I8" s="71"/>
    </row>
    <row r="9" spans="1:9" ht="19.5" thickBot="1" x14ac:dyDescent="0.35">
      <c r="A9" s="98" t="s">
        <v>336</v>
      </c>
      <c r="B9" s="94">
        <f>SUM(B4:B8)</f>
        <v>1944200.24</v>
      </c>
      <c r="C9" s="32" t="e">
        <f>SUM(#REF!)</f>
        <v>#REF!</v>
      </c>
      <c r="D9" s="10" t="e">
        <f>SUM(#REF!)</f>
        <v>#REF!</v>
      </c>
      <c r="E9" s="10" t="e">
        <f>SUM(#REF!)</f>
        <v>#REF!</v>
      </c>
      <c r="F9" s="10" t="e">
        <f>SUM(#REF!)</f>
        <v>#REF!</v>
      </c>
      <c r="G9" s="10" t="e">
        <f>SUM(#REF!)</f>
        <v>#REF!</v>
      </c>
      <c r="H9" s="10" t="e">
        <f>SUM(#REF!)</f>
        <v>#REF!</v>
      </c>
      <c r="I9" s="10" t="e">
        <f>SUM(#REF!)</f>
        <v>#REF!</v>
      </c>
    </row>
  </sheetData>
  <mergeCells count="2">
    <mergeCell ref="A2:B2"/>
    <mergeCell ref="A1:B1"/>
  </mergeCells>
  <pageMargins left="0.46" right="0.25" top="0.65" bottom="0.24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61" workbookViewId="0">
      <selection activeCell="A78" sqref="A78:XFD157"/>
    </sheetView>
  </sheetViews>
  <sheetFormatPr defaultColWidth="8.85546875" defaultRowHeight="15" x14ac:dyDescent="0.25"/>
  <cols>
    <col min="1" max="1" width="78.7109375" customWidth="1"/>
    <col min="2" max="2" width="16.28515625" customWidth="1"/>
    <col min="3" max="3" width="12" hidden="1" customWidth="1"/>
    <col min="4" max="4" width="10.28515625" hidden="1" customWidth="1"/>
    <col min="5" max="5" width="9.140625" hidden="1" customWidth="1"/>
    <col min="6" max="6" width="10.140625" hidden="1" customWidth="1"/>
    <col min="7" max="9" width="10.28515625" hidden="1" customWidth="1"/>
  </cols>
  <sheetData>
    <row r="1" spans="1:9" ht="39" customHeight="1" thickBot="1" x14ac:dyDescent="0.4">
      <c r="A1" s="152" t="s">
        <v>305</v>
      </c>
      <c r="B1" s="152"/>
      <c r="C1" s="70"/>
    </row>
    <row r="2" spans="1:9" ht="19.5" thickBot="1" x14ac:dyDescent="0.35">
      <c r="A2" s="73" t="s">
        <v>0</v>
      </c>
      <c r="B2" s="73" t="s">
        <v>1</v>
      </c>
      <c r="C2" s="25" t="s">
        <v>236</v>
      </c>
      <c r="D2" s="22">
        <v>7</v>
      </c>
      <c r="E2" s="22">
        <v>8</v>
      </c>
      <c r="F2" s="22">
        <v>9</v>
      </c>
      <c r="G2" s="22">
        <v>10</v>
      </c>
      <c r="H2" s="22">
        <v>11</v>
      </c>
      <c r="I2" s="22">
        <v>12</v>
      </c>
    </row>
    <row r="3" spans="1:9" ht="18.75" x14ac:dyDescent="0.3">
      <c r="A3" s="75" t="s">
        <v>334</v>
      </c>
      <c r="B3" s="74"/>
      <c r="C3" s="27"/>
      <c r="D3" s="71"/>
      <c r="E3" s="71"/>
      <c r="F3" s="71"/>
      <c r="G3" s="71"/>
      <c r="H3" s="71"/>
      <c r="I3" s="71"/>
    </row>
    <row r="4" spans="1:9" ht="18.75" x14ac:dyDescent="0.3">
      <c r="A4" s="74" t="s">
        <v>249</v>
      </c>
      <c r="B4" s="74">
        <f t="shared" ref="B4:B12" si="0">SUM(C4:I4)</f>
        <v>1735.17</v>
      </c>
      <c r="C4" s="27"/>
      <c r="D4" s="21"/>
      <c r="E4" s="21"/>
      <c r="F4" s="21"/>
      <c r="G4" s="21"/>
      <c r="H4" s="21">
        <v>433.8</v>
      </c>
      <c r="I4" s="21">
        <f>433.8+867.57</f>
        <v>1301.3700000000001</v>
      </c>
    </row>
    <row r="5" spans="1:9" ht="18.75" x14ac:dyDescent="0.3">
      <c r="A5" s="74" t="s">
        <v>255</v>
      </c>
      <c r="B5" s="74">
        <f t="shared" si="0"/>
        <v>8520</v>
      </c>
      <c r="C5" s="28"/>
      <c r="D5" s="8">
        <f>660</f>
        <v>660</v>
      </c>
      <c r="E5" s="8">
        <f>1320+630</f>
        <v>1950</v>
      </c>
      <c r="F5" s="8">
        <f>966</f>
        <v>966</v>
      </c>
      <c r="G5" s="8">
        <f>1011+345</f>
        <v>1356</v>
      </c>
      <c r="H5" s="8">
        <f>483+552+414+552</f>
        <v>2001</v>
      </c>
      <c r="I5" s="8">
        <f>483+552+552</f>
        <v>1587</v>
      </c>
    </row>
    <row r="6" spans="1:9" ht="18.75" x14ac:dyDescent="0.3">
      <c r="A6" s="74" t="s">
        <v>164</v>
      </c>
      <c r="B6" s="74">
        <f t="shared" si="0"/>
        <v>66791.710000000006</v>
      </c>
      <c r="C6" s="28"/>
      <c r="D6" s="8">
        <v>66791.710000000006</v>
      </c>
      <c r="E6" s="8"/>
      <c r="F6" s="8"/>
      <c r="G6" s="8"/>
      <c r="H6" s="8"/>
      <c r="I6" s="8"/>
    </row>
    <row r="7" spans="1:9" s="18" customFormat="1" ht="18.75" x14ac:dyDescent="0.3">
      <c r="A7" s="99" t="s">
        <v>14</v>
      </c>
      <c r="B7" s="74">
        <f t="shared" si="0"/>
        <v>17220.419999999998</v>
      </c>
      <c r="C7" s="29">
        <f>2700+1720.42+2700+2800+1500</f>
        <v>11420.42</v>
      </c>
      <c r="D7" s="24"/>
      <c r="E7" s="24"/>
      <c r="F7" s="24"/>
      <c r="G7" s="24">
        <v>1500</v>
      </c>
      <c r="H7" s="24">
        <f>1500+2800</f>
        <v>4300</v>
      </c>
      <c r="I7" s="24"/>
    </row>
    <row r="8" spans="1:9" s="18" customFormat="1" ht="18.75" x14ac:dyDescent="0.3">
      <c r="A8" s="99" t="s">
        <v>315</v>
      </c>
      <c r="B8" s="74">
        <f t="shared" si="0"/>
        <v>390</v>
      </c>
      <c r="C8" s="29"/>
      <c r="D8" s="24"/>
      <c r="E8" s="24"/>
      <c r="F8" s="24">
        <v>390</v>
      </c>
      <c r="G8" s="24"/>
      <c r="H8" s="24"/>
      <c r="I8" s="24"/>
    </row>
    <row r="9" spans="1:9" ht="18.75" x14ac:dyDescent="0.3">
      <c r="A9" s="74" t="s">
        <v>251</v>
      </c>
      <c r="B9" s="74">
        <f t="shared" si="0"/>
        <v>888</v>
      </c>
      <c r="C9" s="28"/>
      <c r="D9" s="8"/>
      <c r="E9" s="8"/>
      <c r="F9" s="8">
        <v>888</v>
      </c>
      <c r="G9" s="8"/>
      <c r="H9" s="8"/>
      <c r="I9" s="8"/>
    </row>
    <row r="10" spans="1:9" s="18" customFormat="1" ht="18.75" x14ac:dyDescent="0.3">
      <c r="A10" s="99" t="s">
        <v>23</v>
      </c>
      <c r="B10" s="74">
        <f t="shared" si="0"/>
        <v>1468.8</v>
      </c>
      <c r="C10" s="29"/>
      <c r="D10" s="24"/>
      <c r="E10" s="24"/>
      <c r="F10" s="24"/>
      <c r="G10" s="24"/>
      <c r="H10" s="24"/>
      <c r="I10" s="24">
        <v>1468.8</v>
      </c>
    </row>
    <row r="11" spans="1:9" ht="18.75" x14ac:dyDescent="0.3">
      <c r="A11" s="74" t="s">
        <v>257</v>
      </c>
      <c r="B11" s="74">
        <f t="shared" si="0"/>
        <v>619.25</v>
      </c>
      <c r="C11" s="28"/>
      <c r="D11" s="8"/>
      <c r="E11" s="8"/>
      <c r="F11" s="8"/>
      <c r="G11" s="8"/>
      <c r="H11" s="8"/>
      <c r="I11" s="8">
        <f>527.31+91.94</f>
        <v>619.25</v>
      </c>
    </row>
    <row r="12" spans="1:9" s="18" customFormat="1" ht="18.75" x14ac:dyDescent="0.3">
      <c r="A12" s="99" t="s">
        <v>130</v>
      </c>
      <c r="B12" s="74">
        <f t="shared" si="0"/>
        <v>1093.24</v>
      </c>
      <c r="C12" s="29">
        <f>783.93+309.31</f>
        <v>1093.24</v>
      </c>
      <c r="D12" s="24"/>
      <c r="E12" s="24"/>
      <c r="F12" s="24"/>
      <c r="G12" s="24"/>
      <c r="H12" s="24"/>
      <c r="I12" s="24"/>
    </row>
    <row r="13" spans="1:9" s="18" customFormat="1" ht="18.75" x14ac:dyDescent="0.3">
      <c r="A13" s="99" t="s">
        <v>8</v>
      </c>
      <c r="B13" s="74">
        <v>178842.43</v>
      </c>
      <c r="C13" s="29">
        <f>5270.2+1253.74+5318.24+1200.64+6663.97+1833.57+4992.68+5017.95+3420.87+5165.05+5655.25+3329.34+2736.6+2401.56+354.92+1726.7+504.36+392.28+326.9+438.98+1049.7+326.9+1419.3+420.3+467+467+279.84+3832.8</f>
        <v>66266.64</v>
      </c>
      <c r="D13" s="24">
        <f>700.5+410.4+7988.76</f>
        <v>9099.66</v>
      </c>
      <c r="E13" s="24"/>
      <c r="F13" s="24">
        <f>601.87</f>
        <v>601.87</v>
      </c>
      <c r="G13" s="24">
        <f>4581.41+7978.88+587.47</f>
        <v>13147.76</v>
      </c>
      <c r="H13" s="24">
        <f>445.66+445.2+2484+1444.5+2129.98+2505.6+3872.76</f>
        <v>13327.7</v>
      </c>
      <c r="I13" s="24">
        <f>1900.31+1267.21+1523.18+3163.95+891.97+644.1+3591.4+77.1+4415.15</f>
        <v>17474.37</v>
      </c>
    </row>
    <row r="14" spans="1:9" ht="18.75" x14ac:dyDescent="0.3">
      <c r="A14" s="74" t="s">
        <v>234</v>
      </c>
      <c r="B14" s="74">
        <f>SUM(C14:I14)</f>
        <v>877.75</v>
      </c>
      <c r="C14" s="28"/>
      <c r="D14" s="8"/>
      <c r="E14" s="8"/>
      <c r="F14" s="8"/>
      <c r="G14" s="8"/>
      <c r="H14" s="8"/>
      <c r="I14" s="8">
        <v>877.75</v>
      </c>
    </row>
    <row r="15" spans="1:9" ht="18.75" x14ac:dyDescent="0.3">
      <c r="A15" s="74" t="s">
        <v>259</v>
      </c>
      <c r="B15" s="74">
        <v>9393.24</v>
      </c>
      <c r="C15" s="28"/>
      <c r="D15" s="8"/>
      <c r="E15" s="8"/>
      <c r="F15" s="8">
        <v>1425.48</v>
      </c>
      <c r="G15" s="8"/>
      <c r="H15" s="8"/>
      <c r="I15" s="8"/>
    </row>
    <row r="16" spans="1:9" ht="18.75" x14ac:dyDescent="0.3">
      <c r="A16" s="74" t="s">
        <v>162</v>
      </c>
      <c r="B16" s="74">
        <f>SUM(C16:I16)</f>
        <v>3120</v>
      </c>
      <c r="C16" s="28"/>
      <c r="D16" s="8">
        <v>3120</v>
      </c>
      <c r="E16" s="8"/>
      <c r="F16" s="8"/>
      <c r="G16" s="8"/>
      <c r="H16" s="8"/>
      <c r="I16" s="8"/>
    </row>
    <row r="17" spans="1:9" s="18" customFormat="1" ht="18.75" x14ac:dyDescent="0.3">
      <c r="A17" s="99" t="s">
        <v>260</v>
      </c>
      <c r="B17" s="74">
        <f>SUM(C17:I17)</f>
        <v>17493</v>
      </c>
      <c r="C17" s="29">
        <f>2880+2171+1084+1502+1305+560+1166+459</f>
        <v>11127</v>
      </c>
      <c r="D17" s="24"/>
      <c r="E17" s="24"/>
      <c r="F17" s="24">
        <v>3282</v>
      </c>
      <c r="G17" s="24">
        <v>1159</v>
      </c>
      <c r="H17" s="24">
        <f>491+1084</f>
        <v>1575</v>
      </c>
      <c r="I17" s="24">
        <v>350</v>
      </c>
    </row>
    <row r="18" spans="1:9" s="18" customFormat="1" ht="18.75" x14ac:dyDescent="0.3">
      <c r="A18" s="99" t="s">
        <v>331</v>
      </c>
      <c r="B18" s="99">
        <v>5162.0200000000004</v>
      </c>
      <c r="C18" s="29"/>
      <c r="D18" s="24"/>
      <c r="E18" s="24">
        <v>1504.93</v>
      </c>
      <c r="F18" s="24"/>
      <c r="G18" s="24"/>
      <c r="H18" s="24"/>
      <c r="I18" s="24"/>
    </row>
    <row r="19" spans="1:9" s="18" customFormat="1" ht="18.75" x14ac:dyDescent="0.3">
      <c r="A19" s="99" t="s">
        <v>244</v>
      </c>
      <c r="B19" s="74">
        <f>SUM(C19:I19)</f>
        <v>5876</v>
      </c>
      <c r="C19" s="29">
        <f>355+400+355+355+500+355+355</f>
        <v>2675</v>
      </c>
      <c r="D19" s="24">
        <f>200+258</f>
        <v>458</v>
      </c>
      <c r="E19" s="24">
        <f>399+355</f>
        <v>754</v>
      </c>
      <c r="F19" s="24">
        <f>351</f>
        <v>351</v>
      </c>
      <c r="G19" s="24">
        <f>300+288+350</f>
        <v>938</v>
      </c>
      <c r="H19" s="24">
        <f>700</f>
        <v>700</v>
      </c>
      <c r="I19" s="24"/>
    </row>
    <row r="20" spans="1:9" ht="18.75" x14ac:dyDescent="0.3">
      <c r="A20" s="74" t="s">
        <v>261</v>
      </c>
      <c r="B20" s="74">
        <f>SUM(C20:I20)</f>
        <v>16000</v>
      </c>
      <c r="C20" s="28"/>
      <c r="D20" s="8"/>
      <c r="E20" s="8"/>
      <c r="F20" s="8">
        <v>16000</v>
      </c>
      <c r="G20" s="8"/>
      <c r="H20" s="8"/>
      <c r="I20" s="8"/>
    </row>
    <row r="21" spans="1:9" ht="18.75" x14ac:dyDescent="0.3">
      <c r="A21" s="74" t="s">
        <v>243</v>
      </c>
      <c r="B21" s="74">
        <f>SUM(C21:I21)</f>
        <v>2094.16</v>
      </c>
      <c r="C21" s="28"/>
      <c r="D21" s="8"/>
      <c r="E21" s="8"/>
      <c r="F21" s="8">
        <v>2094.16</v>
      </c>
      <c r="G21" s="8"/>
      <c r="H21" s="8"/>
      <c r="I21" s="8"/>
    </row>
    <row r="22" spans="1:9" s="18" customFormat="1" ht="18.75" x14ac:dyDescent="0.3">
      <c r="A22" s="99" t="s">
        <v>318</v>
      </c>
      <c r="B22" s="74">
        <f t="shared" ref="B22:B50" si="1">SUM(C22:I22)</f>
        <v>30910.959999999995</v>
      </c>
      <c r="C22" s="29">
        <f>387+5708.9+120+239.61+9059.9+231+379.8</f>
        <v>16126.21</v>
      </c>
      <c r="D22" s="24">
        <f>64.92+356</f>
        <v>420.92</v>
      </c>
      <c r="E22" s="24"/>
      <c r="F22" s="24">
        <f>2583.85+194.4</f>
        <v>2778.25</v>
      </c>
      <c r="G22" s="24">
        <f>2394.66+467.95+1304.27+1130.25+139.24</f>
        <v>5436.369999999999</v>
      </c>
      <c r="H22" s="24">
        <f>440.8+664.25+893.05+100</f>
        <v>2098.1</v>
      </c>
      <c r="I22" s="24">
        <f>1527.9+2267.16+256.05</f>
        <v>4051.11</v>
      </c>
    </row>
    <row r="23" spans="1:9" s="18" customFormat="1" ht="18.75" x14ac:dyDescent="0.3">
      <c r="A23" s="99" t="s">
        <v>10</v>
      </c>
      <c r="B23" s="74">
        <f t="shared" si="1"/>
        <v>13798.179999999998</v>
      </c>
      <c r="C23" s="29">
        <f>2592+1050+500+285+4805.94+1200+537.18</f>
        <v>10970.119999999999</v>
      </c>
      <c r="D23" s="24"/>
      <c r="E23" s="24">
        <v>1280</v>
      </c>
      <c r="F23" s="24"/>
      <c r="G23" s="24"/>
      <c r="H23" s="24"/>
      <c r="I23" s="24">
        <f>1040+508.06</f>
        <v>1548.06</v>
      </c>
    </row>
    <row r="24" spans="1:9" s="18" customFormat="1" ht="18.75" x14ac:dyDescent="0.3">
      <c r="A24" s="99" t="s">
        <v>143</v>
      </c>
      <c r="B24" s="74">
        <f t="shared" si="1"/>
        <v>6424.13</v>
      </c>
      <c r="C24" s="29">
        <f>670.5+2120.13+896.9+2736.6</f>
        <v>6424.13</v>
      </c>
      <c r="D24" s="24"/>
      <c r="E24" s="24"/>
      <c r="F24" s="24"/>
      <c r="G24" s="24"/>
      <c r="H24" s="24"/>
      <c r="I24" s="24"/>
    </row>
    <row r="25" spans="1:9" s="18" customFormat="1" ht="18.75" x14ac:dyDescent="0.3">
      <c r="A25" s="99" t="s">
        <v>21</v>
      </c>
      <c r="B25" s="74">
        <f t="shared" si="1"/>
        <v>630</v>
      </c>
      <c r="C25" s="29"/>
      <c r="D25" s="24"/>
      <c r="E25" s="24">
        <v>630</v>
      </c>
      <c r="F25" s="24"/>
      <c r="G25" s="24"/>
      <c r="H25" s="24"/>
      <c r="I25" s="24"/>
    </row>
    <row r="26" spans="1:9" s="18" customFormat="1" ht="18.75" x14ac:dyDescent="0.3">
      <c r="A26" s="99" t="s">
        <v>145</v>
      </c>
      <c r="B26" s="74">
        <f t="shared" si="1"/>
        <v>14700</v>
      </c>
      <c r="C26" s="29">
        <v>14700</v>
      </c>
      <c r="D26" s="24"/>
      <c r="E26" s="24"/>
      <c r="F26" s="24"/>
      <c r="G26" s="24"/>
      <c r="H26" s="24"/>
      <c r="I26" s="24"/>
    </row>
    <row r="27" spans="1:9" ht="18.75" x14ac:dyDescent="0.3">
      <c r="A27" s="74" t="s">
        <v>219</v>
      </c>
      <c r="B27" s="74">
        <f t="shared" si="1"/>
        <v>15029.5</v>
      </c>
      <c r="C27" s="28"/>
      <c r="D27" s="8"/>
      <c r="E27" s="8"/>
      <c r="F27" s="8"/>
      <c r="G27" s="8">
        <v>15029.5</v>
      </c>
      <c r="H27" s="8"/>
      <c r="I27" s="8"/>
    </row>
    <row r="28" spans="1:9" s="18" customFormat="1" ht="18.75" x14ac:dyDescent="0.3">
      <c r="A28" s="99" t="s">
        <v>126</v>
      </c>
      <c r="B28" s="74">
        <f t="shared" si="1"/>
        <v>3089</v>
      </c>
      <c r="C28" s="29">
        <v>233</v>
      </c>
      <c r="D28" s="24"/>
      <c r="E28" s="24">
        <v>660</v>
      </c>
      <c r="F28" s="24">
        <v>2196</v>
      </c>
      <c r="G28" s="24"/>
      <c r="H28" s="24"/>
      <c r="I28" s="24"/>
    </row>
    <row r="29" spans="1:9" ht="18.75" x14ac:dyDescent="0.3">
      <c r="A29" s="74" t="s">
        <v>221</v>
      </c>
      <c r="B29" s="74">
        <f t="shared" si="1"/>
        <v>9714.48</v>
      </c>
      <c r="C29" s="28"/>
      <c r="D29" s="8"/>
      <c r="E29" s="8"/>
      <c r="F29" s="8"/>
      <c r="G29" s="8">
        <v>9714.48</v>
      </c>
      <c r="H29" s="8"/>
      <c r="I29" s="8"/>
    </row>
    <row r="30" spans="1:9" s="18" customFormat="1" ht="18.75" x14ac:dyDescent="0.3">
      <c r="A30" s="99" t="s">
        <v>118</v>
      </c>
      <c r="B30" s="74">
        <f t="shared" si="1"/>
        <v>454.2</v>
      </c>
      <c r="C30" s="29"/>
      <c r="D30" s="24"/>
      <c r="E30" s="24"/>
      <c r="F30" s="24"/>
      <c r="G30" s="24"/>
      <c r="H30" s="24"/>
      <c r="I30" s="24">
        <v>454.2</v>
      </c>
    </row>
    <row r="31" spans="1:9" s="18" customFormat="1" ht="18.75" x14ac:dyDescent="0.3">
      <c r="A31" s="99" t="s">
        <v>94</v>
      </c>
      <c r="B31" s="74">
        <f t="shared" si="1"/>
        <v>1030</v>
      </c>
      <c r="C31" s="29"/>
      <c r="D31" s="24"/>
      <c r="E31" s="24"/>
      <c r="F31" s="24"/>
      <c r="G31" s="24"/>
      <c r="H31" s="24">
        <v>1030</v>
      </c>
      <c r="I31" s="24"/>
    </row>
    <row r="32" spans="1:9" ht="18.75" x14ac:dyDescent="0.3">
      <c r="A32" s="74" t="s">
        <v>197</v>
      </c>
      <c r="B32" s="74">
        <f t="shared" si="1"/>
        <v>162.6</v>
      </c>
      <c r="C32" s="28"/>
      <c r="D32" s="8"/>
      <c r="E32" s="8">
        <v>162.6</v>
      </c>
      <c r="F32" s="8"/>
      <c r="G32" s="8"/>
      <c r="H32" s="8"/>
      <c r="I32" s="8"/>
    </row>
    <row r="33" spans="1:9" ht="18.75" x14ac:dyDescent="0.3">
      <c r="A33" s="74" t="s">
        <v>263</v>
      </c>
      <c r="B33" s="74">
        <f t="shared" si="1"/>
        <v>5731.2</v>
      </c>
      <c r="C33" s="28"/>
      <c r="D33" s="8">
        <v>5731.2</v>
      </c>
      <c r="E33" s="8"/>
      <c r="F33" s="8"/>
      <c r="G33" s="8"/>
      <c r="H33" s="8"/>
      <c r="I33" s="8"/>
    </row>
    <row r="34" spans="1:9" s="18" customFormat="1" ht="18.75" x14ac:dyDescent="0.3">
      <c r="A34" s="99" t="s">
        <v>106</v>
      </c>
      <c r="B34" s="74">
        <f t="shared" si="1"/>
        <v>1280</v>
      </c>
      <c r="C34" s="29">
        <f>1280</f>
        <v>1280</v>
      </c>
      <c r="D34" s="24"/>
      <c r="E34" s="24"/>
      <c r="F34" s="24"/>
      <c r="G34" s="24"/>
      <c r="H34" s="24"/>
      <c r="I34" s="24"/>
    </row>
    <row r="35" spans="1:9" s="18" customFormat="1" ht="18.75" x14ac:dyDescent="0.3">
      <c r="A35" s="99" t="s">
        <v>75</v>
      </c>
      <c r="B35" s="74">
        <f t="shared" si="1"/>
        <v>2210</v>
      </c>
      <c r="C35" s="29"/>
      <c r="D35" s="24"/>
      <c r="E35" s="24"/>
      <c r="F35" s="24"/>
      <c r="G35" s="24"/>
      <c r="H35" s="24">
        <v>2210</v>
      </c>
      <c r="I35" s="24"/>
    </row>
    <row r="36" spans="1:9" ht="18.75" x14ac:dyDescent="0.3">
      <c r="A36" s="74" t="s">
        <v>241</v>
      </c>
      <c r="B36" s="74">
        <f t="shared" si="1"/>
        <v>10605</v>
      </c>
      <c r="C36" s="28"/>
      <c r="D36" s="8">
        <v>10605</v>
      </c>
      <c r="E36" s="8"/>
      <c r="F36" s="8"/>
      <c r="G36" s="8"/>
      <c r="H36" s="8"/>
      <c r="I36" s="8"/>
    </row>
    <row r="37" spans="1:9" ht="18.75" x14ac:dyDescent="0.3">
      <c r="A37" s="74" t="s">
        <v>180</v>
      </c>
      <c r="B37" s="74">
        <f t="shared" si="1"/>
        <v>6722</v>
      </c>
      <c r="C37" s="28"/>
      <c r="D37" s="8">
        <v>1622</v>
      </c>
      <c r="E37" s="8">
        <v>5100</v>
      </c>
      <c r="F37" s="8"/>
      <c r="G37" s="8"/>
      <c r="H37" s="8"/>
      <c r="I37" s="8"/>
    </row>
    <row r="38" spans="1:9" s="18" customFormat="1" ht="18.75" x14ac:dyDescent="0.3">
      <c r="A38" s="99" t="s">
        <v>266</v>
      </c>
      <c r="B38" s="74">
        <f t="shared" si="1"/>
        <v>1776.09</v>
      </c>
      <c r="C38" s="29"/>
      <c r="D38" s="24"/>
      <c r="E38" s="24"/>
      <c r="F38" s="24">
        <f>1301.07+228.61</f>
        <v>1529.6799999999998</v>
      </c>
      <c r="G38" s="24">
        <f>246.41</f>
        <v>246.41</v>
      </c>
      <c r="H38" s="24"/>
      <c r="I38" s="24"/>
    </row>
    <row r="39" spans="1:9" s="18" customFormat="1" ht="18.75" x14ac:dyDescent="0.3">
      <c r="A39" s="99" t="s">
        <v>296</v>
      </c>
      <c r="B39" s="74">
        <f>SUM(C39:I39)</f>
        <v>336</v>
      </c>
      <c r="C39" s="29">
        <v>336</v>
      </c>
      <c r="D39" s="24"/>
      <c r="E39" s="24"/>
      <c r="F39" s="24"/>
      <c r="G39" s="24"/>
      <c r="H39" s="24"/>
      <c r="I39" s="24"/>
    </row>
    <row r="40" spans="1:9" s="18" customFormat="1" ht="18.75" x14ac:dyDescent="0.3">
      <c r="A40" s="99" t="s">
        <v>267</v>
      </c>
      <c r="B40" s="74">
        <f t="shared" si="1"/>
        <v>339.8</v>
      </c>
      <c r="C40" s="29"/>
      <c r="D40" s="24"/>
      <c r="E40" s="24"/>
      <c r="F40" s="24"/>
      <c r="G40" s="24">
        <v>339.8</v>
      </c>
      <c r="H40" s="24"/>
      <c r="I40" s="24"/>
    </row>
    <row r="41" spans="1:9" s="18" customFormat="1" ht="18.75" x14ac:dyDescent="0.3">
      <c r="A41" s="99" t="s">
        <v>268</v>
      </c>
      <c r="B41" s="74">
        <f t="shared" si="1"/>
        <v>51638.91</v>
      </c>
      <c r="C41" s="29">
        <f>2771.33+11525.1+6842.6+366</f>
        <v>21505.03</v>
      </c>
      <c r="D41" s="24"/>
      <c r="E41" s="24">
        <f>897.08+290.31+4731.2</f>
        <v>5918.59</v>
      </c>
      <c r="F41" s="24">
        <v>461.43</v>
      </c>
      <c r="G41" s="24">
        <f>2380.44</f>
        <v>2380.44</v>
      </c>
      <c r="H41" s="24">
        <f>17425.36+3948.06</f>
        <v>21373.420000000002</v>
      </c>
      <c r="I41" s="24"/>
    </row>
    <row r="42" spans="1:9" ht="18.75" x14ac:dyDescent="0.3">
      <c r="A42" s="99" t="s">
        <v>300</v>
      </c>
      <c r="B42" s="74">
        <f t="shared" si="1"/>
        <v>19368</v>
      </c>
      <c r="C42" s="28"/>
      <c r="D42" s="8">
        <v>19368</v>
      </c>
      <c r="E42" s="8"/>
      <c r="F42" s="8"/>
      <c r="G42" s="8"/>
      <c r="H42" s="8"/>
      <c r="I42" s="8"/>
    </row>
    <row r="43" spans="1:9" ht="18.75" x14ac:dyDescent="0.3">
      <c r="A43" s="74" t="s">
        <v>163</v>
      </c>
      <c r="B43" s="74">
        <f t="shared" si="1"/>
        <v>3699</v>
      </c>
      <c r="C43" s="28"/>
      <c r="D43" s="8">
        <v>3699</v>
      </c>
      <c r="E43" s="8"/>
      <c r="F43" s="8"/>
      <c r="G43" s="8"/>
      <c r="H43" s="8"/>
      <c r="I43" s="8"/>
    </row>
    <row r="44" spans="1:9" ht="18.75" x14ac:dyDescent="0.3">
      <c r="A44" s="74" t="s">
        <v>273</v>
      </c>
      <c r="B44" s="74">
        <f t="shared" si="1"/>
        <v>6144</v>
      </c>
      <c r="C44" s="28"/>
      <c r="D44" s="8"/>
      <c r="E44" s="8"/>
      <c r="F44" s="8"/>
      <c r="G44" s="8"/>
      <c r="H44" s="8">
        <v>6144</v>
      </c>
      <c r="I44" s="8"/>
    </row>
    <row r="45" spans="1:9" ht="18.75" x14ac:dyDescent="0.3">
      <c r="A45" s="74" t="s">
        <v>218</v>
      </c>
      <c r="B45" s="74">
        <f t="shared" si="1"/>
        <v>800</v>
      </c>
      <c r="C45" s="28"/>
      <c r="D45" s="8"/>
      <c r="E45" s="8"/>
      <c r="F45" s="8">
        <v>400</v>
      </c>
      <c r="G45" s="8">
        <v>400</v>
      </c>
      <c r="H45" s="8"/>
      <c r="I45" s="8"/>
    </row>
    <row r="46" spans="1:9" ht="18.75" x14ac:dyDescent="0.3">
      <c r="A46" s="74" t="s">
        <v>274</v>
      </c>
      <c r="B46" s="74">
        <f t="shared" si="1"/>
        <v>439.92</v>
      </c>
      <c r="C46" s="28"/>
      <c r="D46" s="8"/>
      <c r="E46" s="8"/>
      <c r="F46" s="8"/>
      <c r="G46" s="8"/>
      <c r="H46" s="8">
        <v>439.92</v>
      </c>
      <c r="I46" s="8"/>
    </row>
    <row r="47" spans="1:9" s="18" customFormat="1" ht="18.75" x14ac:dyDescent="0.3">
      <c r="A47" s="100" t="s">
        <v>17</v>
      </c>
      <c r="B47" s="74">
        <f t="shared" si="1"/>
        <v>50432.369999999995</v>
      </c>
      <c r="C47" s="29">
        <f>25358.89+6370+6039.48+2570</f>
        <v>40338.369999999995</v>
      </c>
      <c r="D47" s="24">
        <v>1920</v>
      </c>
      <c r="E47" s="24"/>
      <c r="F47" s="24">
        <v>494</v>
      </c>
      <c r="G47" s="24">
        <v>3840</v>
      </c>
      <c r="H47" s="24">
        <f>1920</f>
        <v>1920</v>
      </c>
      <c r="I47" s="24">
        <v>1920</v>
      </c>
    </row>
    <row r="48" spans="1:9" s="18" customFormat="1" ht="18.75" x14ac:dyDescent="0.3">
      <c r="A48" s="99" t="s">
        <v>275</v>
      </c>
      <c r="B48" s="74">
        <f t="shared" si="1"/>
        <v>1592.8</v>
      </c>
      <c r="C48" s="29">
        <f>1592.8</f>
        <v>1592.8</v>
      </c>
      <c r="D48" s="24"/>
      <c r="E48" s="24"/>
      <c r="F48" s="24"/>
      <c r="G48" s="24"/>
      <c r="H48" s="24"/>
      <c r="I48" s="24"/>
    </row>
    <row r="49" spans="1:9" s="18" customFormat="1" ht="18.75" x14ac:dyDescent="0.3">
      <c r="A49" s="99" t="s">
        <v>63</v>
      </c>
      <c r="B49" s="74">
        <f t="shared" si="1"/>
        <v>2400</v>
      </c>
      <c r="C49" s="29"/>
      <c r="D49" s="24"/>
      <c r="E49" s="24"/>
      <c r="F49" s="24"/>
      <c r="G49" s="24"/>
      <c r="H49" s="24">
        <v>2400</v>
      </c>
      <c r="I49" s="24"/>
    </row>
    <row r="50" spans="1:9" ht="18.75" x14ac:dyDescent="0.3">
      <c r="A50" s="74" t="s">
        <v>276</v>
      </c>
      <c r="B50" s="74">
        <f t="shared" si="1"/>
        <v>1322</v>
      </c>
      <c r="C50" s="28"/>
      <c r="D50" s="8"/>
      <c r="E50" s="8"/>
      <c r="F50" s="8">
        <v>292</v>
      </c>
      <c r="G50" s="8">
        <v>292</v>
      </c>
      <c r="H50" s="8">
        <v>402</v>
      </c>
      <c r="I50" s="8">
        <v>336</v>
      </c>
    </row>
    <row r="51" spans="1:9" ht="18.75" x14ac:dyDescent="0.3">
      <c r="A51" s="74" t="s">
        <v>278</v>
      </c>
      <c r="B51" s="74">
        <f t="shared" ref="B51:B70" si="2">SUM(C51:I51)</f>
        <v>535.38</v>
      </c>
      <c r="C51" s="28"/>
      <c r="D51" s="8"/>
      <c r="E51" s="8"/>
      <c r="F51" s="8">
        <v>535.38</v>
      </c>
      <c r="G51" s="8"/>
      <c r="H51" s="8"/>
      <c r="I51" s="8"/>
    </row>
    <row r="52" spans="1:9" s="18" customFormat="1" ht="18.75" x14ac:dyDescent="0.3">
      <c r="A52" s="99" t="s">
        <v>311</v>
      </c>
      <c r="B52" s="74">
        <f t="shared" si="2"/>
        <v>17094</v>
      </c>
      <c r="C52" s="29">
        <v>17094</v>
      </c>
      <c r="D52" s="24"/>
      <c r="E52" s="24"/>
      <c r="F52" s="24"/>
      <c r="G52" s="24"/>
      <c r="H52" s="24"/>
      <c r="I52" s="24"/>
    </row>
    <row r="53" spans="1:9" ht="18.75" x14ac:dyDescent="0.3">
      <c r="A53" s="74" t="s">
        <v>281</v>
      </c>
      <c r="B53" s="74">
        <f t="shared" si="2"/>
        <v>950</v>
      </c>
      <c r="C53" s="28"/>
      <c r="D53" s="8"/>
      <c r="E53" s="8">
        <v>950</v>
      </c>
      <c r="F53" s="8"/>
      <c r="G53" s="8"/>
      <c r="H53" s="8"/>
      <c r="I53" s="8"/>
    </row>
    <row r="54" spans="1:9" s="18" customFormat="1" ht="18.75" x14ac:dyDescent="0.3">
      <c r="A54" s="99" t="s">
        <v>282</v>
      </c>
      <c r="B54" s="74">
        <f t="shared" si="2"/>
        <v>17530</v>
      </c>
      <c r="C54" s="29">
        <f>350+1738+650+3182+3360+1300+700+350+650+650+700+650</f>
        <v>14280</v>
      </c>
      <c r="D54" s="24"/>
      <c r="E54" s="24">
        <f>650</f>
        <v>650</v>
      </c>
      <c r="F54" s="24">
        <v>650</v>
      </c>
      <c r="G54" s="24">
        <v>650</v>
      </c>
      <c r="H54" s="24">
        <f>650</f>
        <v>650</v>
      </c>
      <c r="I54" s="24">
        <v>650</v>
      </c>
    </row>
    <row r="55" spans="1:9" ht="18.75" x14ac:dyDescent="0.3">
      <c r="A55" s="74" t="s">
        <v>231</v>
      </c>
      <c r="B55" s="74">
        <f t="shared" si="2"/>
        <v>900</v>
      </c>
      <c r="C55" s="28"/>
      <c r="D55" s="8"/>
      <c r="E55" s="8"/>
      <c r="F55" s="8"/>
      <c r="G55" s="8"/>
      <c r="H55" s="8">
        <f>900</f>
        <v>900</v>
      </c>
      <c r="I55" s="8"/>
    </row>
    <row r="56" spans="1:9" s="18" customFormat="1" ht="18.75" x14ac:dyDescent="0.3">
      <c r="A56" s="99" t="s">
        <v>33</v>
      </c>
      <c r="B56" s="74">
        <f t="shared" si="2"/>
        <v>1659</v>
      </c>
      <c r="C56" s="29">
        <f>35+66+37+20+344+45+22+69</f>
        <v>638</v>
      </c>
      <c r="D56" s="24"/>
      <c r="E56" s="24">
        <f>70</f>
        <v>70</v>
      </c>
      <c r="F56" s="24">
        <f>200+60+26+47+75+53</f>
        <v>461</v>
      </c>
      <c r="G56" s="24">
        <f>45</f>
        <v>45</v>
      </c>
      <c r="H56" s="24">
        <f>32+300</f>
        <v>332</v>
      </c>
      <c r="I56" s="24">
        <f>51+62</f>
        <v>113</v>
      </c>
    </row>
    <row r="57" spans="1:9" s="18" customFormat="1" ht="18.75" x14ac:dyDescent="0.3">
      <c r="A57" s="99" t="s">
        <v>3</v>
      </c>
      <c r="B57" s="74">
        <f t="shared" si="2"/>
        <v>206406</v>
      </c>
      <c r="C57" s="29">
        <f>32120+16060+16060+16060</f>
        <v>80300</v>
      </c>
      <c r="D57" s="24">
        <f>1686+16060+16060</f>
        <v>33806</v>
      </c>
      <c r="E57" s="24"/>
      <c r="F57" s="24">
        <v>16060</v>
      </c>
      <c r="G57" s="24">
        <v>19060</v>
      </c>
      <c r="H57" s="24">
        <v>19060</v>
      </c>
      <c r="I57" s="24">
        <f>19060+19060</f>
        <v>38120</v>
      </c>
    </row>
    <row r="58" spans="1:9" s="18" customFormat="1" ht="18.75" x14ac:dyDescent="0.3">
      <c r="A58" s="99" t="s">
        <v>25</v>
      </c>
      <c r="B58" s="74">
        <f t="shared" si="2"/>
        <v>6122.2</v>
      </c>
      <c r="C58" s="29">
        <f>433.77+867.54+500+500</f>
        <v>2301.31</v>
      </c>
      <c r="D58" s="24">
        <v>355</v>
      </c>
      <c r="E58" s="24">
        <v>50</v>
      </c>
      <c r="F58" s="24">
        <f>50+799+717.64+500</f>
        <v>2066.64</v>
      </c>
      <c r="G58" s="24"/>
      <c r="H58" s="24">
        <f>700+149.25</f>
        <v>849.25</v>
      </c>
      <c r="I58" s="24">
        <v>500</v>
      </c>
    </row>
    <row r="59" spans="1:9" ht="18.75" x14ac:dyDescent="0.3">
      <c r="A59" s="74" t="s">
        <v>310</v>
      </c>
      <c r="B59" s="74">
        <f t="shared" si="2"/>
        <v>2100</v>
      </c>
      <c r="C59" s="28"/>
      <c r="D59" s="8"/>
      <c r="E59" s="8">
        <v>700</v>
      </c>
      <c r="F59" s="8">
        <v>350</v>
      </c>
      <c r="G59" s="8"/>
      <c r="H59" s="8">
        <f>350+350</f>
        <v>700</v>
      </c>
      <c r="I59" s="8">
        <v>350</v>
      </c>
    </row>
    <row r="60" spans="1:9" s="18" customFormat="1" ht="18.75" x14ac:dyDescent="0.3">
      <c r="A60" s="99" t="s">
        <v>146</v>
      </c>
      <c r="B60" s="74">
        <f t="shared" si="2"/>
        <v>15200.64</v>
      </c>
      <c r="C60" s="29">
        <v>15200.64</v>
      </c>
      <c r="D60" s="24"/>
      <c r="E60" s="24"/>
      <c r="F60" s="24"/>
      <c r="G60" s="24"/>
      <c r="H60" s="24"/>
      <c r="I60" s="24"/>
    </row>
    <row r="61" spans="1:9" s="18" customFormat="1" ht="18.75" x14ac:dyDescent="0.3">
      <c r="A61" s="99" t="s">
        <v>115</v>
      </c>
      <c r="B61" s="74">
        <f t="shared" si="2"/>
        <v>3451.44</v>
      </c>
      <c r="C61" s="29">
        <f>2935.8+515.64</f>
        <v>3451.44</v>
      </c>
      <c r="D61" s="24"/>
      <c r="E61" s="24"/>
      <c r="F61" s="24"/>
      <c r="G61" s="24"/>
      <c r="H61" s="24"/>
      <c r="I61" s="24"/>
    </row>
    <row r="62" spans="1:9" s="18" customFormat="1" ht="18.75" x14ac:dyDescent="0.3">
      <c r="A62" s="99" t="s">
        <v>132</v>
      </c>
      <c r="B62" s="74">
        <f t="shared" si="2"/>
        <v>25681.550000000003</v>
      </c>
      <c r="C62" s="29">
        <f>5334.8+1034.96+993.97+1475.53+499.8+98.94+2650.67+405+11396.47</f>
        <v>23890.14</v>
      </c>
      <c r="D62" s="24"/>
      <c r="E62" s="24"/>
      <c r="F62" s="24">
        <v>455.04</v>
      </c>
      <c r="G62" s="24"/>
      <c r="H62" s="24">
        <f>339.79</f>
        <v>339.79</v>
      </c>
      <c r="I62" s="24">
        <f>47+949.58</f>
        <v>996.58</v>
      </c>
    </row>
    <row r="63" spans="1:9" s="18" customFormat="1" ht="18.75" x14ac:dyDescent="0.3">
      <c r="A63" s="99" t="s">
        <v>139</v>
      </c>
      <c r="B63" s="74">
        <f t="shared" si="2"/>
        <v>2820</v>
      </c>
      <c r="C63" s="29">
        <v>2820</v>
      </c>
      <c r="D63" s="24"/>
      <c r="E63" s="24"/>
      <c r="F63" s="24"/>
      <c r="G63" s="24"/>
      <c r="H63" s="24"/>
      <c r="I63" s="24"/>
    </row>
    <row r="64" spans="1:9" ht="18.75" x14ac:dyDescent="0.3">
      <c r="A64" s="74" t="s">
        <v>195</v>
      </c>
      <c r="B64" s="74">
        <f t="shared" si="2"/>
        <v>205.8</v>
      </c>
      <c r="C64" s="28"/>
      <c r="D64" s="8"/>
      <c r="E64" s="8">
        <f>205.8</f>
        <v>205.8</v>
      </c>
      <c r="F64" s="8"/>
      <c r="G64" s="8"/>
      <c r="H64" s="8"/>
      <c r="I64" s="8"/>
    </row>
    <row r="65" spans="1:9" ht="18.75" x14ac:dyDescent="0.3">
      <c r="A65" s="74" t="s">
        <v>288</v>
      </c>
      <c r="B65" s="74">
        <f t="shared" si="2"/>
        <v>7180.2</v>
      </c>
      <c r="C65" s="28"/>
      <c r="D65" s="8">
        <v>7180.2</v>
      </c>
      <c r="E65" s="8"/>
      <c r="F65" s="8"/>
      <c r="G65" s="8"/>
      <c r="H65" s="8"/>
      <c r="I65" s="8"/>
    </row>
    <row r="66" spans="1:9" s="18" customFormat="1" ht="18.75" x14ac:dyDescent="0.3">
      <c r="A66" s="99" t="s">
        <v>123</v>
      </c>
      <c r="B66" s="74">
        <f t="shared" si="2"/>
        <v>2492.58</v>
      </c>
      <c r="C66" s="29"/>
      <c r="D66" s="24"/>
      <c r="E66" s="24">
        <v>2492.58</v>
      </c>
      <c r="F66" s="24"/>
      <c r="G66" s="24"/>
      <c r="H66" s="24"/>
      <c r="I66" s="24"/>
    </row>
    <row r="67" spans="1:9" s="18" customFormat="1" ht="18.75" x14ac:dyDescent="0.3">
      <c r="A67" s="99" t="s">
        <v>289</v>
      </c>
      <c r="B67" s="74">
        <f t="shared" si="2"/>
        <v>2913.06</v>
      </c>
      <c r="C67" s="29">
        <v>2913.06</v>
      </c>
      <c r="D67" s="24"/>
      <c r="E67" s="24"/>
      <c r="F67" s="24"/>
      <c r="G67" s="24"/>
      <c r="H67" s="24"/>
      <c r="I67" s="24"/>
    </row>
    <row r="68" spans="1:9" ht="18.75" x14ac:dyDescent="0.3">
      <c r="A68" s="74" t="s">
        <v>290</v>
      </c>
      <c r="B68" s="74">
        <f t="shared" si="2"/>
        <v>2300.4</v>
      </c>
      <c r="C68" s="28"/>
      <c r="D68" s="8"/>
      <c r="E68" s="8"/>
      <c r="F68" s="8">
        <v>2300.4</v>
      </c>
      <c r="G68" s="8"/>
      <c r="H68" s="8"/>
      <c r="I68" s="8"/>
    </row>
    <row r="69" spans="1:9" ht="18.75" x14ac:dyDescent="0.3">
      <c r="A69" s="74" t="s">
        <v>232</v>
      </c>
      <c r="B69" s="74">
        <f t="shared" si="2"/>
        <v>1199.8800000000001</v>
      </c>
      <c r="C69" s="28"/>
      <c r="D69" s="8"/>
      <c r="E69" s="8"/>
      <c r="F69" s="8"/>
      <c r="G69" s="8"/>
      <c r="H69" s="8"/>
      <c r="I69" s="8">
        <v>1199.8800000000001</v>
      </c>
    </row>
    <row r="70" spans="1:9" ht="18.75" x14ac:dyDescent="0.3">
      <c r="A70" s="74" t="s">
        <v>189</v>
      </c>
      <c r="B70" s="74">
        <f t="shared" si="2"/>
        <v>252</v>
      </c>
      <c r="C70" s="28"/>
      <c r="D70" s="8">
        <v>252</v>
      </c>
      <c r="E70" s="8"/>
      <c r="F70" s="8"/>
      <c r="G70" s="8"/>
      <c r="H70" s="8"/>
      <c r="I70" s="8"/>
    </row>
    <row r="71" spans="1:9" ht="18.75" x14ac:dyDescent="0.3">
      <c r="A71" s="74" t="s">
        <v>294</v>
      </c>
      <c r="B71" s="74">
        <f t="shared" ref="B71:B73" si="3">SUM(C71:I71)</f>
        <v>13650</v>
      </c>
      <c r="C71" s="28"/>
      <c r="D71" s="8">
        <v>13650</v>
      </c>
      <c r="E71" s="8"/>
      <c r="F71" s="8"/>
      <c r="G71" s="8"/>
      <c r="H71" s="8"/>
      <c r="I71" s="8"/>
    </row>
    <row r="72" spans="1:9" ht="18.75" x14ac:dyDescent="0.3">
      <c r="A72" s="74" t="s">
        <v>222</v>
      </c>
      <c r="B72" s="74">
        <f t="shared" si="3"/>
        <v>2167.0500000000002</v>
      </c>
      <c r="C72" s="28"/>
      <c r="D72" s="8"/>
      <c r="E72" s="8"/>
      <c r="F72" s="8"/>
      <c r="G72" s="8">
        <v>2167.0500000000002</v>
      </c>
      <c r="H72" s="8"/>
      <c r="I72" s="8"/>
    </row>
    <row r="73" spans="1:9" s="18" customFormat="1" ht="18.75" x14ac:dyDescent="0.3">
      <c r="A73" s="99" t="s">
        <v>114</v>
      </c>
      <c r="B73" s="74">
        <f t="shared" si="3"/>
        <v>2155</v>
      </c>
      <c r="C73" s="29"/>
      <c r="D73" s="24"/>
      <c r="E73" s="24"/>
      <c r="F73" s="24">
        <f>450</f>
        <v>450</v>
      </c>
      <c r="G73" s="24">
        <v>360</v>
      </c>
      <c r="H73" s="24">
        <f>240+1105</f>
        <v>1345</v>
      </c>
      <c r="I73" s="24"/>
    </row>
    <row r="74" spans="1:9" ht="19.5" thickBot="1" x14ac:dyDescent="0.35">
      <c r="A74" s="74" t="s">
        <v>298</v>
      </c>
      <c r="B74" s="74">
        <f>SUM(C74:I74)</f>
        <v>19200</v>
      </c>
      <c r="C74" s="28"/>
      <c r="D74" s="8">
        <v>19200</v>
      </c>
      <c r="E74" s="8"/>
      <c r="F74" s="8"/>
      <c r="G74" s="8"/>
      <c r="H74" s="8"/>
      <c r="I74" s="8"/>
    </row>
    <row r="75" spans="1:9" ht="18.75" x14ac:dyDescent="0.3">
      <c r="A75" s="102" t="s">
        <v>343</v>
      </c>
      <c r="B75" s="95">
        <v>277296.32</v>
      </c>
      <c r="C75" s="27"/>
      <c r="D75" s="71"/>
      <c r="E75" s="71"/>
      <c r="F75" s="71"/>
      <c r="G75" s="71"/>
      <c r="H75" s="71"/>
      <c r="I75" s="71"/>
    </row>
    <row r="76" spans="1:9" ht="18.75" x14ac:dyDescent="0.3">
      <c r="A76" s="98" t="s">
        <v>336</v>
      </c>
      <c r="B76" s="98">
        <f>SUM(B4:B75)</f>
        <v>1231827.83</v>
      </c>
      <c r="C76" s="28"/>
      <c r="D76" s="8"/>
      <c r="E76" s="8"/>
      <c r="F76" s="8"/>
      <c r="G76" s="8"/>
      <c r="H76" s="8"/>
      <c r="I76" s="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B20"/>
    </sheetView>
  </sheetViews>
  <sheetFormatPr defaultColWidth="8.85546875" defaultRowHeight="15" x14ac:dyDescent="0.25"/>
  <cols>
    <col min="1" max="1" width="64" customWidth="1"/>
    <col min="2" max="2" width="19.140625" customWidth="1"/>
    <col min="3" max="3" width="12" hidden="1" customWidth="1"/>
    <col min="4" max="4" width="10.28515625" hidden="1" customWidth="1"/>
    <col min="5" max="5" width="9.140625" hidden="1" customWidth="1"/>
    <col min="6" max="6" width="10.140625" hidden="1" customWidth="1"/>
    <col min="7" max="9" width="10.28515625" hidden="1" customWidth="1"/>
  </cols>
  <sheetData>
    <row r="1" spans="1:9" ht="54" customHeight="1" thickBot="1" x14ac:dyDescent="0.4">
      <c r="A1" s="151" t="s">
        <v>344</v>
      </c>
      <c r="B1" s="152"/>
      <c r="C1" s="69"/>
    </row>
    <row r="2" spans="1:9" s="78" customFormat="1" ht="19.5" thickBot="1" x14ac:dyDescent="0.35">
      <c r="A2" s="73" t="s">
        <v>0</v>
      </c>
      <c r="B2" s="73" t="s">
        <v>1</v>
      </c>
      <c r="C2" s="76" t="s">
        <v>236</v>
      </c>
      <c r="D2" s="77">
        <v>7</v>
      </c>
      <c r="E2" s="77">
        <v>8</v>
      </c>
      <c r="F2" s="77">
        <v>9</v>
      </c>
      <c r="G2" s="77">
        <v>10</v>
      </c>
      <c r="H2" s="77">
        <v>11</v>
      </c>
      <c r="I2" s="77">
        <v>12</v>
      </c>
    </row>
    <row r="3" spans="1:9" ht="19.5" thickBot="1" x14ac:dyDescent="0.35">
      <c r="A3" s="75" t="s">
        <v>337</v>
      </c>
      <c r="B3" s="74"/>
      <c r="C3" s="27"/>
      <c r="D3" s="71"/>
      <c r="E3" s="71"/>
      <c r="F3" s="71"/>
      <c r="G3" s="71"/>
      <c r="H3" s="71"/>
      <c r="I3" s="71"/>
    </row>
    <row r="4" spans="1:9" ht="18.75" x14ac:dyDescent="0.3">
      <c r="A4" s="74" t="s">
        <v>224</v>
      </c>
      <c r="B4" s="74">
        <f>SUM(C4:I4)</f>
        <v>945</v>
      </c>
      <c r="C4" s="26"/>
      <c r="D4" s="23"/>
      <c r="E4" s="23"/>
      <c r="F4" s="23"/>
      <c r="G4" s="23">
        <v>945</v>
      </c>
      <c r="H4" s="23"/>
      <c r="I4" s="23"/>
    </row>
    <row r="5" spans="1:9" s="18" customFormat="1" ht="18.75" x14ac:dyDescent="0.3">
      <c r="A5" s="99" t="s">
        <v>36</v>
      </c>
      <c r="B5" s="74">
        <f t="shared" ref="B5:B7" si="0">SUM(C5:I5)</f>
        <v>20142.52</v>
      </c>
      <c r="C5" s="29">
        <f>17680+2462.52</f>
        <v>20142.52</v>
      </c>
      <c r="D5" s="24"/>
      <c r="E5" s="24"/>
      <c r="F5" s="24"/>
      <c r="G5" s="24"/>
      <c r="H5" s="24"/>
      <c r="I5" s="24"/>
    </row>
    <row r="6" spans="1:9" s="18" customFormat="1" ht="18.75" x14ac:dyDescent="0.3">
      <c r="A6" s="99" t="s">
        <v>56</v>
      </c>
      <c r="B6" s="74">
        <f t="shared" si="0"/>
        <v>12171</v>
      </c>
      <c r="C6" s="29">
        <f>12171</f>
        <v>12171</v>
      </c>
      <c r="D6" s="24"/>
      <c r="E6" s="24"/>
      <c r="F6" s="24"/>
      <c r="G6" s="24"/>
      <c r="H6" s="24"/>
      <c r="I6" s="24"/>
    </row>
    <row r="7" spans="1:9" s="18" customFormat="1" ht="18.75" x14ac:dyDescent="0.3">
      <c r="A7" s="99" t="s">
        <v>4</v>
      </c>
      <c r="B7" s="74">
        <f t="shared" si="0"/>
        <v>29557.55</v>
      </c>
      <c r="C7" s="29">
        <f>8669.1+3442.14+1662.5+1095.54+418.06+2677.42+1339.92</f>
        <v>19304.68</v>
      </c>
      <c r="D7" s="24"/>
      <c r="E7" s="24">
        <f>4800+4961.55</f>
        <v>9761.5499999999993</v>
      </c>
      <c r="F7" s="24">
        <v>316.2</v>
      </c>
      <c r="G7" s="24"/>
      <c r="H7" s="24"/>
      <c r="I7" s="24">
        <f>175.12</f>
        <v>175.12</v>
      </c>
    </row>
    <row r="8" spans="1:9" s="18" customFormat="1" ht="18.75" x14ac:dyDescent="0.3">
      <c r="A8" s="99" t="s">
        <v>262</v>
      </c>
      <c r="B8" s="74">
        <f t="shared" ref="B8:B11" si="1">SUM(C8:I8)</f>
        <v>11407.45</v>
      </c>
      <c r="C8" s="29">
        <f>360.11+1330.21+5965.05</f>
        <v>7655.3700000000008</v>
      </c>
      <c r="D8" s="24"/>
      <c r="E8" s="24"/>
      <c r="F8" s="24"/>
      <c r="G8" s="24"/>
      <c r="H8" s="24">
        <v>2679.31</v>
      </c>
      <c r="I8" s="24">
        <f>1072.77</f>
        <v>1072.77</v>
      </c>
    </row>
    <row r="9" spans="1:9" s="18" customFormat="1" ht="18.75" x14ac:dyDescent="0.3">
      <c r="A9" s="99" t="s">
        <v>57</v>
      </c>
      <c r="B9" s="74">
        <f t="shared" si="1"/>
        <v>581.99</v>
      </c>
      <c r="C9" s="29"/>
      <c r="D9" s="24"/>
      <c r="E9" s="24">
        <v>324</v>
      </c>
      <c r="F9" s="24"/>
      <c r="G9" s="24"/>
      <c r="H9" s="24"/>
      <c r="I9" s="24">
        <v>257.99</v>
      </c>
    </row>
    <row r="10" spans="1:9" s="18" customFormat="1" ht="18.75" x14ac:dyDescent="0.3">
      <c r="A10" s="99" t="s">
        <v>240</v>
      </c>
      <c r="B10" s="74">
        <f t="shared" si="1"/>
        <v>78242.600000000006</v>
      </c>
      <c r="C10" s="29">
        <f>8658.18+7928.16+7599.18+1496.64+2368.92+7621.44+503.91</f>
        <v>36176.430000000008</v>
      </c>
      <c r="D10" s="24"/>
      <c r="E10" s="24">
        <f>2518.8+4534.2</f>
        <v>7053</v>
      </c>
      <c r="F10" s="24">
        <v>7445.58</v>
      </c>
      <c r="G10" s="24">
        <v>1568.95</v>
      </c>
      <c r="H10" s="24">
        <f>9028.14+1242.18+3208+2367.42</f>
        <v>15845.74</v>
      </c>
      <c r="I10" s="24">
        <f>1656.24+8496.66</f>
        <v>10152.9</v>
      </c>
    </row>
    <row r="11" spans="1:9" ht="18.75" x14ac:dyDescent="0.3">
      <c r="A11" s="74" t="s">
        <v>181</v>
      </c>
      <c r="B11" s="74">
        <f t="shared" si="1"/>
        <v>11736</v>
      </c>
      <c r="C11" s="28"/>
      <c r="D11" s="8">
        <v>11736</v>
      </c>
      <c r="E11" s="8"/>
      <c r="F11" s="8"/>
      <c r="G11" s="8"/>
      <c r="H11" s="8"/>
      <c r="I11" s="8"/>
    </row>
    <row r="12" spans="1:9" ht="18.75" x14ac:dyDescent="0.3">
      <c r="A12" s="74" t="s">
        <v>312</v>
      </c>
      <c r="B12" s="74">
        <f t="shared" ref="B12:B13" si="2">SUM(C12:I12)</f>
        <v>320</v>
      </c>
      <c r="C12" s="28"/>
      <c r="D12" s="8"/>
      <c r="E12" s="8"/>
      <c r="F12" s="8">
        <v>320</v>
      </c>
      <c r="G12" s="8"/>
      <c r="H12" s="8"/>
      <c r="I12" s="8"/>
    </row>
    <row r="13" spans="1:9" ht="19.5" thickBot="1" x14ac:dyDescent="0.35">
      <c r="A13" s="74" t="s">
        <v>233</v>
      </c>
      <c r="B13" s="74">
        <f t="shared" si="2"/>
        <v>465.74</v>
      </c>
      <c r="C13" s="28"/>
      <c r="D13" s="8"/>
      <c r="E13" s="8"/>
      <c r="F13" s="8"/>
      <c r="G13" s="8"/>
      <c r="H13" s="8"/>
      <c r="I13" s="8">
        <v>465.74</v>
      </c>
    </row>
    <row r="14" spans="1:9" ht="19.5" hidden="1" thickBot="1" x14ac:dyDescent="0.35">
      <c r="A14" s="47"/>
      <c r="B14" s="48"/>
      <c r="C14" s="31"/>
      <c r="D14" s="11"/>
      <c r="E14" s="11"/>
      <c r="F14" s="11"/>
      <c r="G14" s="11"/>
      <c r="H14" s="11"/>
      <c r="I14" s="11"/>
    </row>
    <row r="15" spans="1:9" ht="19.5" hidden="1" thickBot="1" x14ac:dyDescent="0.35">
      <c r="A15" s="47"/>
      <c r="B15" s="48"/>
      <c r="C15" s="31"/>
      <c r="D15" s="11"/>
      <c r="E15" s="11"/>
      <c r="F15" s="11"/>
      <c r="G15" s="11"/>
      <c r="H15" s="11"/>
      <c r="I15" s="11"/>
    </row>
    <row r="16" spans="1:9" ht="19.5" hidden="1" thickBot="1" x14ac:dyDescent="0.35">
      <c r="A16" s="47"/>
      <c r="B16" s="48"/>
      <c r="C16" s="31"/>
      <c r="D16" s="11"/>
      <c r="E16" s="11"/>
      <c r="F16" s="11"/>
      <c r="G16" s="11"/>
      <c r="H16" s="11"/>
      <c r="I16" s="11"/>
    </row>
    <row r="17" spans="1:9" ht="19.5" hidden="1" thickBot="1" x14ac:dyDescent="0.35">
      <c r="A17" s="47"/>
      <c r="B17" s="48"/>
      <c r="C17" s="31"/>
      <c r="D17" s="11"/>
      <c r="E17" s="11"/>
      <c r="F17" s="11"/>
      <c r="G17" s="11"/>
      <c r="H17" s="11"/>
      <c r="I17" s="11"/>
    </row>
    <row r="18" spans="1:9" ht="19.5" hidden="1" thickBot="1" x14ac:dyDescent="0.35">
      <c r="A18" s="47"/>
      <c r="B18" s="48"/>
      <c r="C18" s="31"/>
      <c r="D18" s="11"/>
      <c r="E18" s="11"/>
      <c r="F18" s="11"/>
      <c r="G18" s="11"/>
      <c r="H18" s="11"/>
      <c r="I18" s="11"/>
    </row>
    <row r="19" spans="1:9" ht="19.5" hidden="1" thickBot="1" x14ac:dyDescent="0.35">
      <c r="A19" s="47"/>
      <c r="B19" s="48">
        <f t="shared" ref="B19" si="3">SUM(D19:G19)</f>
        <v>0</v>
      </c>
      <c r="C19" s="31"/>
      <c r="D19" s="11"/>
      <c r="E19" s="11"/>
      <c r="F19" s="11"/>
      <c r="G19" s="11"/>
      <c r="H19" s="11"/>
      <c r="I19" s="11"/>
    </row>
    <row r="20" spans="1:9" ht="19.5" thickBot="1" x14ac:dyDescent="0.35">
      <c r="A20" s="98" t="s">
        <v>336</v>
      </c>
      <c r="B20" s="90">
        <f>SUM(B4:B19)</f>
        <v>165569.85</v>
      </c>
      <c r="C20" s="32">
        <f t="shared" ref="C20:I20" si="4">SUM(C4:C19)</f>
        <v>95450</v>
      </c>
      <c r="D20" s="10">
        <f t="shared" si="4"/>
        <v>11736</v>
      </c>
      <c r="E20" s="10">
        <f t="shared" si="4"/>
        <v>17138.55</v>
      </c>
      <c r="F20" s="10">
        <f t="shared" si="4"/>
        <v>8081.78</v>
      </c>
      <c r="G20" s="10">
        <f t="shared" si="4"/>
        <v>2513.9499999999998</v>
      </c>
      <c r="H20" s="10">
        <f t="shared" si="4"/>
        <v>18525.05</v>
      </c>
      <c r="I20" s="10">
        <f t="shared" si="4"/>
        <v>12124.519999999999</v>
      </c>
    </row>
  </sheetData>
  <mergeCells count="1">
    <mergeCell ref="A1:B1"/>
  </mergeCells>
  <pageMargins left="0.5" right="0.2" top="0.43" bottom="0.24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B1"/>
    </sheetView>
  </sheetViews>
  <sheetFormatPr defaultColWidth="8.85546875" defaultRowHeight="15" x14ac:dyDescent="0.25"/>
  <cols>
    <col min="1" max="1" width="67.85546875" customWidth="1"/>
    <col min="2" max="2" width="16.28515625" customWidth="1"/>
    <col min="3" max="3" width="12" hidden="1" customWidth="1"/>
    <col min="4" max="4" width="10.28515625" hidden="1" customWidth="1"/>
    <col min="5" max="5" width="9.140625" hidden="1" customWidth="1"/>
    <col min="6" max="6" width="10.140625" hidden="1" customWidth="1"/>
    <col min="7" max="9" width="10.28515625" hidden="1" customWidth="1"/>
  </cols>
  <sheetData>
    <row r="1" spans="1:9" ht="54" customHeight="1" thickBot="1" x14ac:dyDescent="0.4">
      <c r="A1" s="151" t="s">
        <v>344</v>
      </c>
      <c r="B1" s="152"/>
      <c r="C1" s="69"/>
    </row>
    <row r="2" spans="1:9" ht="19.5" thickBot="1" x14ac:dyDescent="0.35">
      <c r="A2" s="73" t="s">
        <v>0</v>
      </c>
      <c r="B2" s="74" t="s">
        <v>1</v>
      </c>
      <c r="C2" s="25" t="s">
        <v>236</v>
      </c>
      <c r="D2" s="22">
        <v>7</v>
      </c>
      <c r="E2" s="22">
        <v>8</v>
      </c>
      <c r="F2" s="22">
        <v>9</v>
      </c>
      <c r="G2" s="22">
        <v>10</v>
      </c>
      <c r="H2" s="22">
        <v>11</v>
      </c>
      <c r="I2" s="22">
        <v>12</v>
      </c>
    </row>
    <row r="3" spans="1:9" ht="18.75" x14ac:dyDescent="0.3">
      <c r="A3" s="75" t="s">
        <v>338</v>
      </c>
      <c r="B3" s="74"/>
      <c r="C3" s="27"/>
      <c r="D3" s="71"/>
      <c r="E3" s="71"/>
      <c r="F3" s="71"/>
      <c r="G3" s="71"/>
      <c r="H3" s="71"/>
      <c r="I3" s="71"/>
    </row>
    <row r="4" spans="1:9" s="18" customFormat="1" ht="18.75" x14ac:dyDescent="0.3">
      <c r="A4" s="99" t="s">
        <v>127</v>
      </c>
      <c r="B4" s="74">
        <f t="shared" ref="B4:B7" si="0">SUM(C4:I4)</f>
        <v>495</v>
      </c>
      <c r="C4" s="29">
        <v>495</v>
      </c>
      <c r="D4" s="24"/>
      <c r="E4" s="24"/>
      <c r="F4" s="24"/>
      <c r="G4" s="24"/>
      <c r="H4" s="24"/>
      <c r="I4" s="24"/>
    </row>
    <row r="5" spans="1:9" ht="18.75" x14ac:dyDescent="0.3">
      <c r="A5" s="74" t="s">
        <v>248</v>
      </c>
      <c r="B5" s="74">
        <f t="shared" si="0"/>
        <v>800</v>
      </c>
      <c r="C5" s="28"/>
      <c r="D5" s="8"/>
      <c r="E5" s="8"/>
      <c r="F5" s="8"/>
      <c r="G5" s="8">
        <v>800</v>
      </c>
      <c r="H5" s="8"/>
      <c r="I5" s="8"/>
    </row>
    <row r="6" spans="1:9" ht="18.75" x14ac:dyDescent="0.3">
      <c r="A6" s="74" t="s">
        <v>247</v>
      </c>
      <c r="B6" s="74">
        <f t="shared" si="0"/>
        <v>1147.5</v>
      </c>
      <c r="C6" s="28"/>
      <c r="D6" s="8"/>
      <c r="E6" s="8"/>
      <c r="F6" s="8">
        <v>1147.5</v>
      </c>
      <c r="G6" s="8"/>
      <c r="H6" s="8"/>
      <c r="I6" s="8"/>
    </row>
    <row r="7" spans="1:9" s="18" customFormat="1" ht="18.75" x14ac:dyDescent="0.3">
      <c r="A7" s="99" t="s">
        <v>229</v>
      </c>
      <c r="B7" s="74">
        <f t="shared" si="0"/>
        <v>5861.35</v>
      </c>
      <c r="C7" s="29"/>
      <c r="D7" s="24"/>
      <c r="E7" s="24"/>
      <c r="F7" s="24"/>
      <c r="G7" s="24"/>
      <c r="H7" s="24">
        <f>99+2575+680+1416.1+118.7</f>
        <v>4888.8</v>
      </c>
      <c r="I7" s="24">
        <f>972.55</f>
        <v>972.55</v>
      </c>
    </row>
    <row r="8" spans="1:9" ht="18.75" x14ac:dyDescent="0.3">
      <c r="A8" s="74" t="s">
        <v>270</v>
      </c>
      <c r="B8" s="74">
        <f t="shared" ref="B8" si="1">SUM(C8:I8)</f>
        <v>1511.5</v>
      </c>
      <c r="C8" s="28"/>
      <c r="D8" s="8"/>
      <c r="E8" s="8"/>
      <c r="F8" s="8"/>
      <c r="G8" s="8"/>
      <c r="H8" s="8">
        <v>1511.5</v>
      </c>
      <c r="I8" s="8"/>
    </row>
    <row r="9" spans="1:9" s="18" customFormat="1" ht="18.75" x14ac:dyDescent="0.3">
      <c r="A9" s="99" t="s">
        <v>313</v>
      </c>
      <c r="B9" s="74">
        <f t="shared" ref="B9" si="2">SUM(C9:I9)</f>
        <v>2949</v>
      </c>
      <c r="C9" s="30">
        <f>1499+1450</f>
        <v>2949</v>
      </c>
      <c r="D9" s="24"/>
      <c r="E9" s="24"/>
      <c r="F9" s="24"/>
      <c r="G9" s="24"/>
      <c r="H9" s="24"/>
      <c r="I9" s="24"/>
    </row>
    <row r="10" spans="1:9" s="18" customFormat="1" ht="18.75" x14ac:dyDescent="0.3">
      <c r="A10" s="99" t="s">
        <v>102</v>
      </c>
      <c r="B10" s="74">
        <f>SUM(C10:I10)</f>
        <v>4945.5</v>
      </c>
      <c r="C10" s="29"/>
      <c r="D10" s="24"/>
      <c r="E10" s="24"/>
      <c r="F10" s="24"/>
      <c r="G10" s="24"/>
      <c r="H10" s="24">
        <f>4945.5</f>
        <v>4945.5</v>
      </c>
      <c r="I10" s="24"/>
    </row>
    <row r="11" spans="1:9" s="18" customFormat="1" ht="18.75" x14ac:dyDescent="0.3">
      <c r="A11" s="99" t="s">
        <v>299</v>
      </c>
      <c r="B11" s="74">
        <f t="shared" ref="B11" si="3">SUM(C11:I11)</f>
        <v>1496.81</v>
      </c>
      <c r="C11" s="29">
        <v>1496.81</v>
      </c>
      <c r="D11" s="24"/>
      <c r="E11" s="24"/>
      <c r="F11" s="24"/>
      <c r="G11" s="24"/>
      <c r="H11" s="24"/>
      <c r="I11" s="24"/>
    </row>
    <row r="12" spans="1:9" ht="19.5" hidden="1" thickBot="1" x14ac:dyDescent="0.35">
      <c r="A12" s="47"/>
      <c r="B12" s="48"/>
      <c r="C12" s="31"/>
      <c r="D12" s="11"/>
      <c r="E12" s="11"/>
      <c r="F12" s="11"/>
      <c r="G12" s="11"/>
      <c r="H12" s="11"/>
      <c r="I12" s="11"/>
    </row>
    <row r="13" spans="1:9" ht="19.5" hidden="1" thickBot="1" x14ac:dyDescent="0.35">
      <c r="A13" s="47"/>
      <c r="B13" s="48"/>
      <c r="C13" s="31"/>
      <c r="D13" s="11"/>
      <c r="E13" s="11"/>
      <c r="F13" s="11"/>
      <c r="G13" s="11"/>
      <c r="H13" s="11"/>
      <c r="I13" s="11"/>
    </row>
    <row r="14" spans="1:9" ht="19.5" hidden="1" thickBot="1" x14ac:dyDescent="0.35">
      <c r="A14" s="47"/>
      <c r="B14" s="48"/>
      <c r="C14" s="31"/>
      <c r="D14" s="11"/>
      <c r="E14" s="11"/>
      <c r="F14" s="11"/>
      <c r="G14" s="11"/>
      <c r="H14" s="11"/>
      <c r="I14" s="11"/>
    </row>
    <row r="15" spans="1:9" ht="19.5" hidden="1" thickBot="1" x14ac:dyDescent="0.35">
      <c r="A15" s="47"/>
      <c r="B15" s="48"/>
      <c r="C15" s="31"/>
      <c r="D15" s="11"/>
      <c r="E15" s="11"/>
      <c r="F15" s="11"/>
      <c r="G15" s="11"/>
      <c r="H15" s="11"/>
      <c r="I15" s="11"/>
    </row>
    <row r="16" spans="1:9" ht="19.5" hidden="1" thickBot="1" x14ac:dyDescent="0.35">
      <c r="A16" s="47"/>
      <c r="B16" s="48"/>
      <c r="C16" s="31"/>
      <c r="D16" s="11"/>
      <c r="E16" s="11"/>
      <c r="F16" s="11"/>
      <c r="G16" s="11"/>
      <c r="H16" s="11"/>
      <c r="I16" s="11"/>
    </row>
    <row r="17" spans="1:9" ht="19.5" hidden="1" thickBot="1" x14ac:dyDescent="0.35">
      <c r="A17" s="47"/>
      <c r="B17" s="48">
        <f t="shared" ref="B17" si="4">SUM(D17:G17)</f>
        <v>0</v>
      </c>
      <c r="C17" s="31"/>
      <c r="D17" s="11"/>
      <c r="E17" s="11"/>
      <c r="F17" s="11"/>
      <c r="G17" s="11"/>
      <c r="H17" s="11"/>
      <c r="I17" s="11"/>
    </row>
    <row r="18" spans="1:9" s="18" customFormat="1" ht="18.75" x14ac:dyDescent="0.3">
      <c r="A18" s="99" t="s">
        <v>108</v>
      </c>
      <c r="B18" s="74">
        <f>SUM(C18:I18)</f>
        <v>13360.849999999999</v>
      </c>
      <c r="C18" s="29">
        <f>145.08+4147.82+2398.03+400+832.82+271+562.95+848.98+107.88+214</f>
        <v>9928.56</v>
      </c>
      <c r="D18" s="24"/>
      <c r="E18" s="24"/>
      <c r="F18" s="24"/>
      <c r="G18" s="24"/>
      <c r="H18" s="24">
        <v>2849.39</v>
      </c>
      <c r="I18" s="24">
        <v>582.9</v>
      </c>
    </row>
    <row r="19" spans="1:9" s="18" customFormat="1" ht="19.5" thickBot="1" x14ac:dyDescent="0.35">
      <c r="A19" s="100" t="s">
        <v>342</v>
      </c>
      <c r="B19" s="74">
        <v>173430.62</v>
      </c>
      <c r="C19" s="29">
        <f>5167+6657+6968+5038.62</f>
        <v>23830.62</v>
      </c>
      <c r="D19" s="24"/>
      <c r="E19" s="24"/>
      <c r="F19" s="24"/>
      <c r="G19" s="24"/>
      <c r="H19" s="24">
        <f>289</f>
        <v>289</v>
      </c>
      <c r="I19" s="24"/>
    </row>
    <row r="20" spans="1:9" ht="19.5" thickBot="1" x14ac:dyDescent="0.35">
      <c r="A20" s="98" t="s">
        <v>336</v>
      </c>
      <c r="B20" s="98">
        <f>SUM(B4:B19)</f>
        <v>205998.13</v>
      </c>
      <c r="C20" s="32">
        <f t="shared" ref="C20:I20" si="5">SUM(C4:C17)</f>
        <v>4940.8099999999995</v>
      </c>
      <c r="D20" s="10">
        <f t="shared" si="5"/>
        <v>0</v>
      </c>
      <c r="E20" s="10">
        <f t="shared" si="5"/>
        <v>0</v>
      </c>
      <c r="F20" s="10">
        <f t="shared" si="5"/>
        <v>1147.5</v>
      </c>
      <c r="G20" s="10">
        <f t="shared" si="5"/>
        <v>800</v>
      </c>
      <c r="H20" s="10">
        <f t="shared" si="5"/>
        <v>11345.8</v>
      </c>
      <c r="I20" s="10">
        <f t="shared" si="5"/>
        <v>972.55</v>
      </c>
    </row>
  </sheetData>
  <mergeCells count="1">
    <mergeCell ref="A1:B1"/>
  </mergeCells>
  <pageMargins left="0.52" right="0.2" top="0.43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B30"/>
    </sheetView>
  </sheetViews>
  <sheetFormatPr defaultColWidth="8.85546875" defaultRowHeight="15" x14ac:dyDescent="0.25"/>
  <cols>
    <col min="1" max="1" width="70.28515625" customWidth="1"/>
    <col min="2" max="2" width="19" customWidth="1"/>
    <col min="3" max="3" width="12" hidden="1" customWidth="1"/>
    <col min="4" max="4" width="10.28515625" hidden="1" customWidth="1"/>
    <col min="5" max="5" width="9.140625" hidden="1" customWidth="1"/>
    <col min="6" max="6" width="10.140625" hidden="1" customWidth="1"/>
    <col min="7" max="9" width="10.28515625" hidden="1" customWidth="1"/>
  </cols>
  <sheetData>
    <row r="1" spans="1:9" ht="43.5" customHeight="1" thickBot="1" x14ac:dyDescent="0.4">
      <c r="A1" s="151" t="s">
        <v>344</v>
      </c>
      <c r="B1" s="152"/>
      <c r="C1" s="69"/>
    </row>
    <row r="2" spans="1:9" ht="19.5" thickBot="1" x14ac:dyDescent="0.35">
      <c r="A2" s="73" t="s">
        <v>0</v>
      </c>
      <c r="B2" s="73" t="s">
        <v>1</v>
      </c>
      <c r="C2" s="25" t="s">
        <v>236</v>
      </c>
      <c r="D2" s="22">
        <v>7</v>
      </c>
      <c r="E2" s="22">
        <v>8</v>
      </c>
      <c r="F2" s="22">
        <v>9</v>
      </c>
      <c r="G2" s="22">
        <v>10</v>
      </c>
      <c r="H2" s="22">
        <v>11</v>
      </c>
      <c r="I2" s="22">
        <v>12</v>
      </c>
    </row>
    <row r="3" spans="1:9" ht="18.75" x14ac:dyDescent="0.3">
      <c r="A3" s="75" t="s">
        <v>339</v>
      </c>
      <c r="B3" s="73"/>
      <c r="C3" s="27"/>
      <c r="D3" s="71"/>
      <c r="E3" s="71"/>
      <c r="F3" s="71"/>
      <c r="G3" s="71"/>
      <c r="H3" s="71"/>
      <c r="I3" s="71"/>
    </row>
    <row r="4" spans="1:9" s="18" customFormat="1" ht="18.75" x14ac:dyDescent="0.3">
      <c r="A4" s="99" t="s">
        <v>253</v>
      </c>
      <c r="B4" s="74">
        <f t="shared" ref="B4:B10" si="0">SUM(C4:I4)</f>
        <v>66872.47</v>
      </c>
      <c r="C4" s="29">
        <f>4000+2484.47+6000+6000+7000+4000</f>
        <v>29484.47</v>
      </c>
      <c r="D4" s="24">
        <v>8000</v>
      </c>
      <c r="E4" s="24">
        <v>2000</v>
      </c>
      <c r="F4" s="24"/>
      <c r="G4" s="24">
        <v>19600</v>
      </c>
      <c r="H4" s="24">
        <f>1788</f>
        <v>1788</v>
      </c>
      <c r="I4" s="24">
        <v>6000</v>
      </c>
    </row>
    <row r="5" spans="1:9" ht="18.75" x14ac:dyDescent="0.3">
      <c r="A5" s="74" t="s">
        <v>319</v>
      </c>
      <c r="B5" s="74">
        <f t="shared" si="0"/>
        <v>430</v>
      </c>
      <c r="C5" s="28"/>
      <c r="D5" s="8"/>
      <c r="E5" s="8"/>
      <c r="F5" s="8"/>
      <c r="G5" s="8"/>
      <c r="H5" s="8">
        <f>430</f>
        <v>430</v>
      </c>
      <c r="I5" s="8"/>
    </row>
    <row r="6" spans="1:9" s="18" customFormat="1" ht="18.75" x14ac:dyDescent="0.3">
      <c r="A6" s="99" t="s">
        <v>93</v>
      </c>
      <c r="B6" s="74">
        <f t="shared" si="0"/>
        <v>572.35</v>
      </c>
      <c r="C6" s="29"/>
      <c r="D6" s="24"/>
      <c r="E6" s="24">
        <v>217.53</v>
      </c>
      <c r="F6" s="24"/>
      <c r="G6" s="24"/>
      <c r="H6" s="24"/>
      <c r="I6" s="24">
        <f>196.74+158.08</f>
        <v>354.82000000000005</v>
      </c>
    </row>
    <row r="7" spans="1:9" ht="18.75" x14ac:dyDescent="0.3">
      <c r="A7" s="74" t="s">
        <v>188</v>
      </c>
      <c r="B7" s="74">
        <f t="shared" si="0"/>
        <v>3367.81</v>
      </c>
      <c r="C7" s="28"/>
      <c r="D7" s="8">
        <f>679.25</f>
        <v>679.25</v>
      </c>
      <c r="E7" s="8">
        <v>2688.56</v>
      </c>
      <c r="F7" s="8"/>
      <c r="G7" s="8"/>
      <c r="H7" s="8"/>
      <c r="I7" s="8"/>
    </row>
    <row r="8" spans="1:9" ht="18.75" x14ac:dyDescent="0.3">
      <c r="A8" s="99" t="s">
        <v>347</v>
      </c>
      <c r="B8" s="74">
        <v>64897.08</v>
      </c>
      <c r="C8" s="28"/>
      <c r="D8" s="8"/>
      <c r="E8" s="8">
        <v>5220</v>
      </c>
      <c r="F8" s="8"/>
      <c r="G8" s="8"/>
      <c r="H8" s="8"/>
      <c r="I8" s="8"/>
    </row>
    <row r="9" spans="1:9" s="18" customFormat="1" ht="18.75" x14ac:dyDescent="0.3">
      <c r="A9" s="99" t="s">
        <v>122</v>
      </c>
      <c r="B9" s="74">
        <f t="shared" si="0"/>
        <v>12966.740000000002</v>
      </c>
      <c r="C9" s="29">
        <f>3798+175.5+351</f>
        <v>4324.5</v>
      </c>
      <c r="D9" s="24"/>
      <c r="E9" s="24"/>
      <c r="F9" s="24"/>
      <c r="G9" s="24"/>
      <c r="H9" s="24"/>
      <c r="I9" s="24">
        <f>656.94+5269.5+427.5+785.3+594+909</f>
        <v>8642.2400000000016</v>
      </c>
    </row>
    <row r="10" spans="1:9" ht="18.75" x14ac:dyDescent="0.3">
      <c r="A10" s="74" t="s">
        <v>264</v>
      </c>
      <c r="B10" s="74">
        <f t="shared" si="0"/>
        <v>1579.2</v>
      </c>
      <c r="C10" s="28"/>
      <c r="D10" s="8"/>
      <c r="E10" s="8"/>
      <c r="F10" s="8"/>
      <c r="G10" s="8">
        <v>1579.2</v>
      </c>
      <c r="H10" s="8"/>
      <c r="I10" s="8"/>
    </row>
    <row r="11" spans="1:9" s="18" customFormat="1" ht="18.75" x14ac:dyDescent="0.3">
      <c r="A11" s="99" t="s">
        <v>138</v>
      </c>
      <c r="B11" s="74">
        <f t="shared" ref="B11:B18" si="1">SUM(C11:I11)</f>
        <v>47815.740000000005</v>
      </c>
      <c r="C11" s="29">
        <f>325+3280+402+4680+485+500+1339.91+656</f>
        <v>11667.91</v>
      </c>
      <c r="D11" s="24">
        <f>809.1</f>
        <v>809.1</v>
      </c>
      <c r="E11" s="24"/>
      <c r="F11" s="24">
        <v>2047.4</v>
      </c>
      <c r="G11" s="24">
        <f>22387.63</f>
        <v>22387.63</v>
      </c>
      <c r="H11" s="24"/>
      <c r="I11" s="24">
        <f>2920.05-656.94+1490+638.72+618.3+109.62+186.17+715.85+2183.74+881.63+135+2036.38-196.74-158.08</f>
        <v>10903.7</v>
      </c>
    </row>
    <row r="12" spans="1:9" ht="18.75" x14ac:dyDescent="0.3">
      <c r="A12" s="74" t="s">
        <v>171</v>
      </c>
      <c r="B12" s="74">
        <f t="shared" si="1"/>
        <v>25587.84</v>
      </c>
      <c r="C12" s="28"/>
      <c r="D12" s="8">
        <f>734.52+12827.1+312.3+36+174.86+3857.83+364</f>
        <v>18306.61</v>
      </c>
      <c r="E12" s="8"/>
      <c r="F12" s="8"/>
      <c r="G12" s="8">
        <f>1771.77</f>
        <v>1771.77</v>
      </c>
      <c r="H12" s="8">
        <f>2954+1193.46+1362</f>
        <v>5509.46</v>
      </c>
      <c r="I12" s="8"/>
    </row>
    <row r="13" spans="1:9" s="18" customFormat="1" ht="18.75" x14ac:dyDescent="0.3">
      <c r="A13" s="99" t="s">
        <v>265</v>
      </c>
      <c r="B13" s="74">
        <f t="shared" si="1"/>
        <v>8627.5</v>
      </c>
      <c r="C13" s="29">
        <f>8627.5</f>
        <v>8627.5</v>
      </c>
      <c r="D13" s="24"/>
      <c r="E13" s="24"/>
      <c r="F13" s="24"/>
      <c r="G13" s="24"/>
      <c r="H13" s="24"/>
      <c r="I13" s="24"/>
    </row>
    <row r="14" spans="1:9" ht="18.75" x14ac:dyDescent="0.3">
      <c r="A14" s="74" t="s">
        <v>271</v>
      </c>
      <c r="B14" s="74">
        <f t="shared" si="1"/>
        <v>91.52</v>
      </c>
      <c r="C14" s="28"/>
      <c r="D14" s="8"/>
      <c r="E14" s="8"/>
      <c r="F14" s="8">
        <v>91.52</v>
      </c>
      <c r="G14" s="8"/>
      <c r="H14" s="8"/>
      <c r="I14" s="8"/>
    </row>
    <row r="15" spans="1:9" ht="18.75" x14ac:dyDescent="0.3">
      <c r="A15" s="74" t="s">
        <v>277</v>
      </c>
      <c r="B15" s="74">
        <f t="shared" si="1"/>
        <v>670</v>
      </c>
      <c r="C15" s="28"/>
      <c r="D15" s="8"/>
      <c r="E15" s="8"/>
      <c r="F15" s="8"/>
      <c r="G15" s="8">
        <v>670</v>
      </c>
      <c r="H15" s="8"/>
      <c r="I15" s="8"/>
    </row>
    <row r="16" spans="1:9" s="18" customFormat="1" ht="18.75" x14ac:dyDescent="0.3">
      <c r="A16" s="99" t="s">
        <v>280</v>
      </c>
      <c r="B16" s="74">
        <f t="shared" si="1"/>
        <v>25009.5</v>
      </c>
      <c r="C16" s="29">
        <f>1725+679.5+2470+400</f>
        <v>5274.5</v>
      </c>
      <c r="D16" s="24"/>
      <c r="E16" s="24"/>
      <c r="F16" s="24">
        <v>5445</v>
      </c>
      <c r="G16" s="24">
        <v>1580</v>
      </c>
      <c r="H16" s="24">
        <f>1105+11605</f>
        <v>12710</v>
      </c>
      <c r="I16" s="24"/>
    </row>
    <row r="17" spans="1:9" s="18" customFormat="1" ht="18.75" x14ac:dyDescent="0.3">
      <c r="A17" s="99" t="s">
        <v>284</v>
      </c>
      <c r="B17" s="74">
        <f t="shared" si="1"/>
        <v>48146</v>
      </c>
      <c r="C17" s="29">
        <f>3300+3300+1500+4346+1500+1500+6480+1500+1500</f>
        <v>24926</v>
      </c>
      <c r="D17" s="24"/>
      <c r="E17" s="24">
        <v>2000</v>
      </c>
      <c r="F17" s="24">
        <v>2000</v>
      </c>
      <c r="G17" s="24"/>
      <c r="H17" s="24">
        <f>1800+3520+2000</f>
        <v>7320</v>
      </c>
      <c r="I17" s="24">
        <f>9900+2000</f>
        <v>11900</v>
      </c>
    </row>
    <row r="18" spans="1:9" ht="18.75" x14ac:dyDescent="0.3">
      <c r="A18" s="74" t="s">
        <v>309</v>
      </c>
      <c r="B18" s="74">
        <f t="shared" si="1"/>
        <v>149.4</v>
      </c>
      <c r="C18" s="28"/>
      <c r="D18" s="8"/>
      <c r="E18" s="8"/>
      <c r="F18" s="8"/>
      <c r="G18" s="8">
        <v>149.4</v>
      </c>
      <c r="H18" s="8"/>
      <c r="I18" s="8"/>
    </row>
    <row r="19" spans="1:9" s="18" customFormat="1" ht="18.75" x14ac:dyDescent="0.3">
      <c r="A19" s="100" t="s">
        <v>293</v>
      </c>
      <c r="B19" s="74">
        <v>10353.32</v>
      </c>
      <c r="C19" s="29">
        <f>298.08+1121.52+6841.5+217.1+933.96</f>
        <v>9412.16</v>
      </c>
      <c r="D19" s="24"/>
      <c r="E19" s="24"/>
      <c r="F19" s="24"/>
      <c r="G19" s="24"/>
      <c r="H19" s="24"/>
      <c r="I19" s="24"/>
    </row>
    <row r="20" spans="1:9" ht="18.75" x14ac:dyDescent="0.3">
      <c r="A20" s="74" t="s">
        <v>320</v>
      </c>
      <c r="B20" s="74">
        <v>14521.2</v>
      </c>
      <c r="C20" s="28"/>
      <c r="D20" s="8"/>
      <c r="E20" s="8"/>
      <c r="F20" s="8"/>
      <c r="G20" s="8"/>
      <c r="H20" s="8"/>
      <c r="I20" s="8"/>
    </row>
    <row r="21" spans="1:9" ht="18.75" x14ac:dyDescent="0.3">
      <c r="A21" s="74" t="s">
        <v>202</v>
      </c>
      <c r="B21" s="74">
        <f t="shared" ref="B21:B22" si="2">SUM(C21:I21)</f>
        <v>3680</v>
      </c>
      <c r="C21" s="28"/>
      <c r="D21" s="8"/>
      <c r="E21" s="8">
        <v>3680</v>
      </c>
      <c r="F21" s="8"/>
      <c r="G21" s="8"/>
      <c r="H21" s="8"/>
      <c r="I21" s="8"/>
    </row>
    <row r="22" spans="1:9" s="18" customFormat="1" ht="18.75" x14ac:dyDescent="0.3">
      <c r="A22" s="99" t="s">
        <v>42</v>
      </c>
      <c r="B22" s="74">
        <f t="shared" si="2"/>
        <v>714.76</v>
      </c>
      <c r="C22" s="29"/>
      <c r="D22" s="24"/>
      <c r="E22" s="24"/>
      <c r="F22" s="24"/>
      <c r="G22" s="24">
        <v>714.76</v>
      </c>
      <c r="H22" s="24"/>
      <c r="I22" s="24"/>
    </row>
    <row r="23" spans="1:9" ht="18.75" hidden="1" x14ac:dyDescent="0.3">
      <c r="A23" s="47"/>
      <c r="B23" s="48"/>
      <c r="C23" s="31"/>
      <c r="D23" s="11"/>
      <c r="E23" s="11"/>
      <c r="F23" s="11"/>
      <c r="G23" s="11"/>
      <c r="H23" s="11"/>
      <c r="I23" s="11"/>
    </row>
    <row r="24" spans="1:9" ht="18.75" hidden="1" x14ac:dyDescent="0.3">
      <c r="A24" s="47"/>
      <c r="B24" s="48"/>
      <c r="C24" s="31"/>
      <c r="D24" s="11"/>
      <c r="E24" s="11"/>
      <c r="F24" s="11"/>
      <c r="G24" s="11"/>
      <c r="H24" s="11"/>
      <c r="I24" s="11"/>
    </row>
    <row r="25" spans="1:9" ht="18.75" hidden="1" x14ac:dyDescent="0.3">
      <c r="A25" s="47"/>
      <c r="B25" s="48"/>
      <c r="C25" s="31"/>
      <c r="D25" s="11"/>
      <c r="E25" s="11"/>
      <c r="F25" s="11"/>
      <c r="G25" s="11"/>
      <c r="H25" s="11"/>
      <c r="I25" s="11"/>
    </row>
    <row r="26" spans="1:9" ht="18.75" hidden="1" x14ac:dyDescent="0.3">
      <c r="A26" s="47"/>
      <c r="B26" s="48"/>
      <c r="C26" s="31"/>
      <c r="D26" s="11"/>
      <c r="E26" s="11"/>
      <c r="F26" s="11"/>
      <c r="G26" s="11"/>
      <c r="H26" s="11"/>
      <c r="I26" s="11"/>
    </row>
    <row r="27" spans="1:9" ht="18.75" hidden="1" x14ac:dyDescent="0.3">
      <c r="A27" s="47"/>
      <c r="B27" s="48"/>
      <c r="C27" s="31"/>
      <c r="D27" s="11"/>
      <c r="E27" s="11"/>
      <c r="F27" s="11"/>
      <c r="G27" s="11"/>
      <c r="H27" s="11"/>
      <c r="I27" s="11"/>
    </row>
    <row r="28" spans="1:9" ht="18.75" hidden="1" x14ac:dyDescent="0.3">
      <c r="A28" s="47"/>
      <c r="B28" s="48">
        <f t="shared" ref="B28" si="3">SUM(D28:G28)</f>
        <v>0</v>
      </c>
      <c r="C28" s="31"/>
      <c r="D28" s="11"/>
      <c r="E28" s="11"/>
      <c r="F28" s="11"/>
      <c r="G28" s="11"/>
      <c r="H28" s="11"/>
      <c r="I28" s="11"/>
    </row>
    <row r="29" spans="1:9" ht="19.5" thickBot="1" x14ac:dyDescent="0.35">
      <c r="A29" s="74" t="s">
        <v>322</v>
      </c>
      <c r="B29" s="74">
        <f>SUM(C29:I29)</f>
        <v>4752</v>
      </c>
      <c r="C29" s="28"/>
      <c r="D29" s="8"/>
      <c r="E29" s="8">
        <v>2572</v>
      </c>
      <c r="F29" s="8"/>
      <c r="G29" s="8"/>
      <c r="H29" s="8"/>
      <c r="I29" s="8">
        <v>2180</v>
      </c>
    </row>
    <row r="30" spans="1:9" ht="19.5" thickBot="1" x14ac:dyDescent="0.35">
      <c r="A30" s="98" t="s">
        <v>336</v>
      </c>
      <c r="B30" s="90">
        <f>SUM(B4:B29)</f>
        <v>340804.43000000005</v>
      </c>
      <c r="C30" s="32">
        <f t="shared" ref="C30:I30" si="4">SUM(C4:C28)</f>
        <v>93717.040000000008</v>
      </c>
      <c r="D30" s="10">
        <f t="shared" si="4"/>
        <v>27794.959999999999</v>
      </c>
      <c r="E30" s="10">
        <f t="shared" si="4"/>
        <v>15806.09</v>
      </c>
      <c r="F30" s="10">
        <f t="shared" si="4"/>
        <v>9583.92</v>
      </c>
      <c r="G30" s="10">
        <f t="shared" si="4"/>
        <v>48452.76</v>
      </c>
      <c r="H30" s="10">
        <f t="shared" si="4"/>
        <v>27757.46</v>
      </c>
      <c r="I30" s="10">
        <f t="shared" si="4"/>
        <v>37800.76</v>
      </c>
    </row>
  </sheetData>
  <mergeCells count="1">
    <mergeCell ref="A1:B1"/>
  </mergeCells>
  <pageMargins left="0.38" right="0.2" top="0.26" bottom="0.24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workbookViewId="0">
      <selection activeCell="L11" sqref="L11"/>
    </sheetView>
  </sheetViews>
  <sheetFormatPr defaultColWidth="8.85546875" defaultRowHeight="15" x14ac:dyDescent="0.25"/>
  <cols>
    <col min="1" max="1" width="69" customWidth="1"/>
    <col min="2" max="2" width="16.28515625" customWidth="1"/>
    <col min="3" max="3" width="12" hidden="1" customWidth="1"/>
    <col min="4" max="4" width="10.28515625" hidden="1" customWidth="1"/>
    <col min="5" max="5" width="9.140625" hidden="1" customWidth="1"/>
    <col min="6" max="6" width="10.140625" hidden="1" customWidth="1"/>
    <col min="7" max="9" width="10.28515625" hidden="1" customWidth="1"/>
  </cols>
  <sheetData>
    <row r="1" spans="1:9" ht="21" customHeight="1" thickBot="1" x14ac:dyDescent="0.35">
      <c r="A1" s="154" t="s">
        <v>395</v>
      </c>
      <c r="B1" s="154"/>
    </row>
    <row r="2" spans="1:9" ht="29.25" customHeight="1" thickBot="1" x14ac:dyDescent="0.4">
      <c r="A2" s="155" t="s">
        <v>305</v>
      </c>
      <c r="B2" s="156"/>
      <c r="C2" s="69"/>
    </row>
    <row r="3" spans="1:9" ht="19.5" thickBot="1" x14ac:dyDescent="0.35">
      <c r="A3" s="79" t="s">
        <v>0</v>
      </c>
      <c r="B3" s="80" t="s">
        <v>1</v>
      </c>
      <c r="C3" s="25" t="s">
        <v>236</v>
      </c>
      <c r="D3" s="22">
        <v>7</v>
      </c>
      <c r="E3" s="22">
        <v>8</v>
      </c>
      <c r="F3" s="22">
        <v>9</v>
      </c>
      <c r="G3" s="22">
        <v>10</v>
      </c>
      <c r="H3" s="22">
        <v>11</v>
      </c>
      <c r="I3" s="22">
        <v>12</v>
      </c>
    </row>
    <row r="4" spans="1:9" ht="18.75" x14ac:dyDescent="0.3">
      <c r="A4" s="60" t="s">
        <v>224</v>
      </c>
      <c r="B4" s="72">
        <f>SUM(C4:I4)</f>
        <v>945</v>
      </c>
      <c r="C4" s="26"/>
      <c r="D4" s="23"/>
      <c r="E4" s="23"/>
      <c r="F4" s="23"/>
      <c r="G4" s="23">
        <v>945</v>
      </c>
      <c r="H4" s="23"/>
      <c r="I4" s="23"/>
    </row>
    <row r="5" spans="1:9" ht="18.75" x14ac:dyDescent="0.3">
      <c r="A5" s="60" t="s">
        <v>249</v>
      </c>
      <c r="B5" s="61">
        <f>SUM(C5:I5)</f>
        <v>1735.17</v>
      </c>
      <c r="C5" s="27"/>
      <c r="D5" s="21"/>
      <c r="E5" s="21"/>
      <c r="F5" s="21"/>
      <c r="G5" s="21"/>
      <c r="H5" s="21">
        <v>433.8</v>
      </c>
      <c r="I5" s="21">
        <f>433.8+867.57</f>
        <v>1301.3700000000001</v>
      </c>
    </row>
    <row r="6" spans="1:9" ht="18.75" x14ac:dyDescent="0.3">
      <c r="A6" s="62" t="s">
        <v>164</v>
      </c>
      <c r="B6" s="61">
        <f t="shared" ref="B6:B47" si="0">SUM(C6:I6)</f>
        <v>66791.710000000006</v>
      </c>
      <c r="C6" s="28"/>
      <c r="D6" s="8">
        <v>66791.710000000006</v>
      </c>
      <c r="E6" s="8"/>
      <c r="F6" s="8"/>
      <c r="G6" s="8"/>
      <c r="H6" s="8"/>
      <c r="I6" s="8"/>
    </row>
    <row r="7" spans="1:9" s="18" customFormat="1" ht="18.75" x14ac:dyDescent="0.3">
      <c r="A7" s="63" t="s">
        <v>14</v>
      </c>
      <c r="B7" s="61">
        <f t="shared" si="0"/>
        <v>17220.419999999998</v>
      </c>
      <c r="C7" s="29">
        <f>2700+1720.42+2700+2800+1500</f>
        <v>11420.42</v>
      </c>
      <c r="D7" s="24"/>
      <c r="E7" s="24"/>
      <c r="F7" s="24"/>
      <c r="G7" s="24">
        <v>1500</v>
      </c>
      <c r="H7" s="24">
        <f>1500+2800</f>
        <v>4300</v>
      </c>
      <c r="I7" s="24"/>
    </row>
    <row r="8" spans="1:9" s="18" customFormat="1" ht="18.75" x14ac:dyDescent="0.3">
      <c r="A8" s="63" t="s">
        <v>250</v>
      </c>
      <c r="B8" s="61">
        <f t="shared" si="0"/>
        <v>390</v>
      </c>
      <c r="C8" s="29"/>
      <c r="D8" s="24"/>
      <c r="E8" s="24"/>
      <c r="F8" s="24">
        <v>390</v>
      </c>
      <c r="G8" s="24"/>
      <c r="H8" s="24"/>
      <c r="I8" s="24"/>
    </row>
    <row r="9" spans="1:9" ht="18.75" x14ac:dyDescent="0.3">
      <c r="A9" s="62" t="s">
        <v>251</v>
      </c>
      <c r="B9" s="61">
        <f t="shared" si="0"/>
        <v>888</v>
      </c>
      <c r="C9" s="28"/>
      <c r="D9" s="8"/>
      <c r="E9" s="8"/>
      <c r="F9" s="8">
        <v>888</v>
      </c>
      <c r="G9" s="8"/>
      <c r="H9" s="8"/>
      <c r="I9" s="8"/>
    </row>
    <row r="10" spans="1:9" s="18" customFormat="1" ht="18.75" x14ac:dyDescent="0.3">
      <c r="A10" s="63" t="s">
        <v>23</v>
      </c>
      <c r="B10" s="61">
        <f t="shared" si="0"/>
        <v>1468.8</v>
      </c>
      <c r="C10" s="29"/>
      <c r="D10" s="24"/>
      <c r="E10" s="24"/>
      <c r="F10" s="24"/>
      <c r="G10" s="24"/>
      <c r="H10" s="24"/>
      <c r="I10" s="24">
        <v>1468.8</v>
      </c>
    </row>
    <row r="11" spans="1:9" ht="18.75" x14ac:dyDescent="0.3">
      <c r="A11" s="62" t="s">
        <v>173</v>
      </c>
      <c r="B11" s="61">
        <f t="shared" si="0"/>
        <v>5000</v>
      </c>
      <c r="C11" s="28"/>
      <c r="D11" s="8">
        <v>5000</v>
      </c>
      <c r="E11" s="8"/>
      <c r="F11" s="8"/>
      <c r="G11" s="8"/>
      <c r="H11" s="8"/>
      <c r="I11" s="8"/>
    </row>
    <row r="12" spans="1:9" s="18" customFormat="1" ht="18.75" x14ac:dyDescent="0.3">
      <c r="A12" s="63" t="s">
        <v>32</v>
      </c>
      <c r="B12" s="61">
        <f t="shared" si="0"/>
        <v>20013.71</v>
      </c>
      <c r="C12" s="29">
        <f>3531.32+800+2738.47+668.4+681.54</f>
        <v>8419.73</v>
      </c>
      <c r="D12" s="24">
        <f>293.65</f>
        <v>293.64999999999998</v>
      </c>
      <c r="E12" s="24">
        <f>738.89+2033.22</f>
        <v>2772.11</v>
      </c>
      <c r="F12" s="24">
        <f>2204.74+183+1193.76</f>
        <v>3581.5</v>
      </c>
      <c r="G12" s="24"/>
      <c r="H12" s="24">
        <f>2509.08</f>
        <v>2509.08</v>
      </c>
      <c r="I12" s="24">
        <f>1731.14+249.39+196.69+260.42</f>
        <v>2437.6400000000003</v>
      </c>
    </row>
    <row r="13" spans="1:9" ht="18.75" x14ac:dyDescent="0.3">
      <c r="A13" s="62" t="s">
        <v>252</v>
      </c>
      <c r="B13" s="61">
        <f t="shared" si="0"/>
        <v>800.98</v>
      </c>
      <c r="C13" s="28"/>
      <c r="D13" s="8"/>
      <c r="E13" s="8">
        <v>800.98</v>
      </c>
      <c r="F13" s="8"/>
      <c r="G13" s="8"/>
      <c r="H13" s="8"/>
      <c r="I13" s="8"/>
    </row>
    <row r="14" spans="1:9" s="18" customFormat="1" ht="18.75" x14ac:dyDescent="0.3">
      <c r="A14" s="63" t="s">
        <v>136</v>
      </c>
      <c r="B14" s="61">
        <f t="shared" si="0"/>
        <v>69750</v>
      </c>
      <c r="C14" s="30">
        <f>31650+8100</f>
        <v>39750</v>
      </c>
      <c r="D14" s="24"/>
      <c r="E14" s="24"/>
      <c r="F14" s="24">
        <v>4000</v>
      </c>
      <c r="G14" s="24">
        <v>9000</v>
      </c>
      <c r="H14" s="24">
        <f>9000+8000</f>
        <v>17000</v>
      </c>
      <c r="I14" s="24"/>
    </row>
    <row r="15" spans="1:9" s="18" customFormat="1" ht="18.75" x14ac:dyDescent="0.3">
      <c r="A15" s="63" t="s">
        <v>253</v>
      </c>
      <c r="B15" s="61">
        <f t="shared" si="0"/>
        <v>66872.47</v>
      </c>
      <c r="C15" s="29">
        <f>4000+2484.47+6000+6000+7000+4000</f>
        <v>29484.47</v>
      </c>
      <c r="D15" s="24">
        <v>8000</v>
      </c>
      <c r="E15" s="24">
        <v>2000</v>
      </c>
      <c r="F15" s="24"/>
      <c r="G15" s="24">
        <v>19600</v>
      </c>
      <c r="H15" s="24">
        <f>1788</f>
        <v>1788</v>
      </c>
      <c r="I15" s="24">
        <v>6000</v>
      </c>
    </row>
    <row r="16" spans="1:9" s="18" customFormat="1" ht="18.75" x14ac:dyDescent="0.3">
      <c r="A16" s="63" t="s">
        <v>127</v>
      </c>
      <c r="B16" s="61">
        <f t="shared" si="0"/>
        <v>495</v>
      </c>
      <c r="C16" s="29">
        <v>495</v>
      </c>
      <c r="D16" s="24"/>
      <c r="E16" s="24"/>
      <c r="F16" s="24"/>
      <c r="G16" s="24"/>
      <c r="H16" s="24"/>
      <c r="I16" s="24"/>
    </row>
    <row r="17" spans="1:9" ht="18.75" x14ac:dyDescent="0.3">
      <c r="A17" s="62" t="s">
        <v>254</v>
      </c>
      <c r="B17" s="61">
        <f t="shared" si="0"/>
        <v>430</v>
      </c>
      <c r="C17" s="28"/>
      <c r="D17" s="8"/>
      <c r="E17" s="8"/>
      <c r="F17" s="8"/>
      <c r="G17" s="8"/>
      <c r="H17" s="8">
        <f>430</f>
        <v>430</v>
      </c>
      <c r="I17" s="8"/>
    </row>
    <row r="18" spans="1:9" s="18" customFormat="1" ht="18.75" x14ac:dyDescent="0.3">
      <c r="A18" s="63" t="s">
        <v>93</v>
      </c>
      <c r="B18" s="61">
        <f t="shared" si="0"/>
        <v>572.35</v>
      </c>
      <c r="C18" s="29"/>
      <c r="D18" s="24"/>
      <c r="E18" s="24">
        <v>217.53</v>
      </c>
      <c r="F18" s="24"/>
      <c r="G18" s="24"/>
      <c r="H18" s="24"/>
      <c r="I18" s="24">
        <f>196.74+158.08</f>
        <v>354.82000000000005</v>
      </c>
    </row>
    <row r="19" spans="1:9" ht="18.75" x14ac:dyDescent="0.3">
      <c r="A19" s="62" t="s">
        <v>255</v>
      </c>
      <c r="B19" s="61">
        <f t="shared" si="0"/>
        <v>8520</v>
      </c>
      <c r="C19" s="28"/>
      <c r="D19" s="8">
        <f>660</f>
        <v>660</v>
      </c>
      <c r="E19" s="8">
        <f>1320+630</f>
        <v>1950</v>
      </c>
      <c r="F19" s="8">
        <f>966</f>
        <v>966</v>
      </c>
      <c r="G19" s="8">
        <f>1011+345</f>
        <v>1356</v>
      </c>
      <c r="H19" s="8">
        <f>483+552+414+552</f>
        <v>2001</v>
      </c>
      <c r="I19" s="8">
        <f>483+552+552</f>
        <v>1587</v>
      </c>
    </row>
    <row r="20" spans="1:9" ht="18.75" x14ac:dyDescent="0.3">
      <c r="A20" s="62" t="s">
        <v>184</v>
      </c>
      <c r="B20" s="61">
        <f t="shared" si="0"/>
        <v>37986</v>
      </c>
      <c r="C20" s="28"/>
      <c r="D20" s="8">
        <v>37986</v>
      </c>
      <c r="E20" s="8"/>
      <c r="F20" s="8"/>
      <c r="G20" s="8"/>
      <c r="H20" s="8"/>
      <c r="I20" s="8"/>
    </row>
    <row r="21" spans="1:9" ht="18.75" x14ac:dyDescent="0.3">
      <c r="A21" s="62" t="s">
        <v>256</v>
      </c>
      <c r="B21" s="61">
        <f t="shared" si="0"/>
        <v>3051.72</v>
      </c>
      <c r="C21" s="28"/>
      <c r="D21" s="8">
        <v>3051.72</v>
      </c>
      <c r="E21" s="8"/>
      <c r="F21" s="8"/>
      <c r="G21" s="8"/>
      <c r="H21" s="8"/>
      <c r="I21" s="8"/>
    </row>
    <row r="22" spans="1:9" ht="18.75" x14ac:dyDescent="0.3">
      <c r="A22" s="62" t="s">
        <v>257</v>
      </c>
      <c r="B22" s="61">
        <f t="shared" si="0"/>
        <v>619.25</v>
      </c>
      <c r="C22" s="28"/>
      <c r="D22" s="8"/>
      <c r="E22" s="8"/>
      <c r="F22" s="8"/>
      <c r="G22" s="8"/>
      <c r="H22" s="8"/>
      <c r="I22" s="8">
        <f>527.31+91.94</f>
        <v>619.25</v>
      </c>
    </row>
    <row r="23" spans="1:9" s="18" customFormat="1" ht="18.75" x14ac:dyDescent="0.3">
      <c r="A23" s="63" t="s">
        <v>130</v>
      </c>
      <c r="B23" s="61">
        <f t="shared" si="0"/>
        <v>1093.24</v>
      </c>
      <c r="C23" s="29">
        <f>783.93+309.31</f>
        <v>1093.24</v>
      </c>
      <c r="D23" s="24"/>
      <c r="E23" s="24"/>
      <c r="F23" s="24"/>
      <c r="G23" s="24"/>
      <c r="H23" s="24"/>
      <c r="I23" s="24"/>
    </row>
    <row r="24" spans="1:9" ht="18.75" x14ac:dyDescent="0.3">
      <c r="A24" s="62" t="s">
        <v>188</v>
      </c>
      <c r="B24" s="61">
        <f t="shared" si="0"/>
        <v>3367.81</v>
      </c>
      <c r="C24" s="28"/>
      <c r="D24" s="8">
        <f>679.25</f>
        <v>679.25</v>
      </c>
      <c r="E24" s="8">
        <v>2688.56</v>
      </c>
      <c r="F24" s="8"/>
      <c r="G24" s="8"/>
      <c r="H24" s="8"/>
      <c r="I24" s="8"/>
    </row>
    <row r="25" spans="1:9" s="18" customFormat="1" ht="18.75" x14ac:dyDescent="0.3">
      <c r="A25" s="63" t="s">
        <v>258</v>
      </c>
      <c r="B25" s="61">
        <f t="shared" si="0"/>
        <v>24119.62</v>
      </c>
      <c r="C25" s="29">
        <f>5167+6657+6968+5038.62</f>
        <v>23830.62</v>
      </c>
      <c r="D25" s="24"/>
      <c r="E25" s="24"/>
      <c r="F25" s="24"/>
      <c r="G25" s="24"/>
      <c r="H25" s="24">
        <f>289</f>
        <v>289</v>
      </c>
      <c r="I25" s="24"/>
    </row>
    <row r="26" spans="1:9" ht="18.75" x14ac:dyDescent="0.3">
      <c r="A26" s="62" t="s">
        <v>248</v>
      </c>
      <c r="B26" s="61">
        <f t="shared" si="0"/>
        <v>800</v>
      </c>
      <c r="C26" s="28"/>
      <c r="D26" s="8"/>
      <c r="E26" s="8"/>
      <c r="F26" s="8"/>
      <c r="G26" s="8">
        <v>800</v>
      </c>
      <c r="H26" s="8"/>
      <c r="I26" s="8"/>
    </row>
    <row r="27" spans="1:9" s="18" customFormat="1" ht="18.75" x14ac:dyDescent="0.3">
      <c r="A27" s="63" t="s">
        <v>36</v>
      </c>
      <c r="B27" s="61">
        <f t="shared" si="0"/>
        <v>20142.52</v>
      </c>
      <c r="C27" s="29">
        <f>17680+2462.52</f>
        <v>20142.52</v>
      </c>
      <c r="D27" s="24"/>
      <c r="E27" s="24"/>
      <c r="F27" s="24"/>
      <c r="G27" s="24"/>
      <c r="H27" s="24"/>
      <c r="I27" s="24"/>
    </row>
    <row r="28" spans="1:9" s="18" customFormat="1" ht="18.75" x14ac:dyDescent="0.3">
      <c r="A28" s="63" t="s">
        <v>56</v>
      </c>
      <c r="B28" s="61">
        <f t="shared" si="0"/>
        <v>12171</v>
      </c>
      <c r="C28" s="29">
        <f>12171</f>
        <v>12171</v>
      </c>
      <c r="D28" s="24"/>
      <c r="E28" s="24"/>
      <c r="F28" s="24"/>
      <c r="G28" s="24"/>
      <c r="H28" s="24"/>
      <c r="I28" s="24"/>
    </row>
    <row r="29" spans="1:9" s="18" customFormat="1" ht="18.75" x14ac:dyDescent="0.3">
      <c r="A29" s="63" t="s">
        <v>8</v>
      </c>
      <c r="B29" s="61">
        <f t="shared" si="0"/>
        <v>119917.99999999999</v>
      </c>
      <c r="C29" s="29">
        <f>5270.2+1253.74+5318.24+1200.64+6663.97+1833.57+4992.68+5017.95+3420.87+5165.05+5655.25+3329.34+2736.6+2401.56+354.92+1726.7+504.36+392.28+326.9+438.98+1049.7+326.9+1419.3+420.3+467+467+279.84+3832.8</f>
        <v>66266.64</v>
      </c>
      <c r="D29" s="24">
        <f>700.5+410.4+7988.76</f>
        <v>9099.66</v>
      </c>
      <c r="E29" s="24"/>
      <c r="F29" s="24">
        <f>601.87</f>
        <v>601.87</v>
      </c>
      <c r="G29" s="24">
        <f>4581.41+7978.88+587.47</f>
        <v>13147.76</v>
      </c>
      <c r="H29" s="24">
        <f>445.66+445.2+2484+1444.5+2129.98+2505.6+3872.76</f>
        <v>13327.7</v>
      </c>
      <c r="I29" s="24">
        <f>1900.31+1267.21+1523.18+3163.95+891.97+644.1+3591.4+77.1+4415.15</f>
        <v>17474.37</v>
      </c>
    </row>
    <row r="30" spans="1:9" ht="18.75" x14ac:dyDescent="0.3">
      <c r="A30" s="62" t="s">
        <v>247</v>
      </c>
      <c r="B30" s="61">
        <f t="shared" si="0"/>
        <v>1147.5</v>
      </c>
      <c r="C30" s="28"/>
      <c r="D30" s="8"/>
      <c r="E30" s="8"/>
      <c r="F30" s="8">
        <v>1147.5</v>
      </c>
      <c r="G30" s="8"/>
      <c r="H30" s="8"/>
      <c r="I30" s="8"/>
    </row>
    <row r="31" spans="1:9" ht="18.75" x14ac:dyDescent="0.3">
      <c r="A31" s="62" t="s">
        <v>234</v>
      </c>
      <c r="B31" s="61">
        <f t="shared" si="0"/>
        <v>877.75</v>
      </c>
      <c r="C31" s="28"/>
      <c r="D31" s="8"/>
      <c r="E31" s="8"/>
      <c r="F31" s="8"/>
      <c r="G31" s="8"/>
      <c r="H31" s="8"/>
      <c r="I31" s="8">
        <v>877.75</v>
      </c>
    </row>
    <row r="32" spans="1:9" ht="18.75" x14ac:dyDescent="0.3">
      <c r="A32" s="62" t="s">
        <v>246</v>
      </c>
      <c r="B32" s="61">
        <f t="shared" si="0"/>
        <v>5220</v>
      </c>
      <c r="C32" s="28"/>
      <c r="D32" s="8"/>
      <c r="E32" s="8">
        <v>5220</v>
      </c>
      <c r="F32" s="8"/>
      <c r="G32" s="8"/>
      <c r="H32" s="8"/>
      <c r="I32" s="8"/>
    </row>
    <row r="33" spans="1:9" ht="18.75" x14ac:dyDescent="0.3">
      <c r="A33" s="62" t="s">
        <v>259</v>
      </c>
      <c r="B33" s="61">
        <f t="shared" si="0"/>
        <v>1425.48</v>
      </c>
      <c r="C33" s="28"/>
      <c r="D33" s="8"/>
      <c r="E33" s="8"/>
      <c r="F33" s="8">
        <v>1425.48</v>
      </c>
      <c r="G33" s="8"/>
      <c r="H33" s="8"/>
      <c r="I33" s="8"/>
    </row>
    <row r="34" spans="1:9" s="18" customFormat="1" ht="18.75" x14ac:dyDescent="0.3">
      <c r="A34" s="63" t="s">
        <v>229</v>
      </c>
      <c r="B34" s="61">
        <f t="shared" si="0"/>
        <v>5861.35</v>
      </c>
      <c r="C34" s="29"/>
      <c r="D34" s="24"/>
      <c r="E34" s="24"/>
      <c r="F34" s="24"/>
      <c r="G34" s="24"/>
      <c r="H34" s="24">
        <f>99+2575+680+1416.1+118.7</f>
        <v>4888.8</v>
      </c>
      <c r="I34" s="24">
        <f>972.55</f>
        <v>972.55</v>
      </c>
    </row>
    <row r="35" spans="1:9" ht="18.75" x14ac:dyDescent="0.3">
      <c r="A35" s="62" t="s">
        <v>162</v>
      </c>
      <c r="B35" s="61">
        <f t="shared" si="0"/>
        <v>3120</v>
      </c>
      <c r="C35" s="28"/>
      <c r="D35" s="8">
        <v>3120</v>
      </c>
      <c r="E35" s="8"/>
      <c r="F35" s="8"/>
      <c r="G35" s="8"/>
      <c r="H35" s="8"/>
      <c r="I35" s="8"/>
    </row>
    <row r="36" spans="1:9" s="18" customFormat="1" ht="18.75" x14ac:dyDescent="0.3">
      <c r="A36" s="63" t="s">
        <v>134</v>
      </c>
      <c r="B36" s="61">
        <f t="shared" si="0"/>
        <v>3414.02</v>
      </c>
      <c r="C36" s="30">
        <f>3288.02+126</f>
        <v>3414.02</v>
      </c>
      <c r="D36" s="24"/>
      <c r="E36" s="24"/>
      <c r="F36" s="24"/>
      <c r="G36" s="24"/>
      <c r="H36" s="24"/>
      <c r="I36" s="24"/>
    </row>
    <row r="37" spans="1:9" s="18" customFormat="1" ht="18.75" x14ac:dyDescent="0.3">
      <c r="A37" s="63" t="s">
        <v>260</v>
      </c>
      <c r="B37" s="61">
        <f t="shared" si="0"/>
        <v>17493</v>
      </c>
      <c r="C37" s="29">
        <f>2880+2171+1084+1502+1305+560+1166+459</f>
        <v>11127</v>
      </c>
      <c r="D37" s="24"/>
      <c r="E37" s="24"/>
      <c r="F37" s="24">
        <v>3282</v>
      </c>
      <c r="G37" s="24">
        <v>1159</v>
      </c>
      <c r="H37" s="24">
        <f>491+1084</f>
        <v>1575</v>
      </c>
      <c r="I37" s="24">
        <v>350</v>
      </c>
    </row>
    <row r="38" spans="1:9" ht="18.75" x14ac:dyDescent="0.3">
      <c r="A38" s="62" t="s">
        <v>245</v>
      </c>
      <c r="B38" s="61">
        <f t="shared" si="0"/>
        <v>13062.259999999998</v>
      </c>
      <c r="C38" s="28"/>
      <c r="D38" s="8">
        <f>1190.54+11871.72</f>
        <v>13062.259999999998</v>
      </c>
      <c r="E38" s="8"/>
      <c r="F38" s="8"/>
      <c r="G38" s="8"/>
      <c r="H38" s="8"/>
      <c r="I38" s="8"/>
    </row>
    <row r="39" spans="1:9" s="18" customFormat="1" ht="18.75" x14ac:dyDescent="0.3">
      <c r="A39" s="63" t="s">
        <v>4</v>
      </c>
      <c r="B39" s="61">
        <f t="shared" si="0"/>
        <v>29557.55</v>
      </c>
      <c r="C39" s="29">
        <f>8669.1+3442.14+1662.5+1095.54+418.06+2677.42+1339.92</f>
        <v>19304.68</v>
      </c>
      <c r="D39" s="24"/>
      <c r="E39" s="24">
        <f>4800+4961.55</f>
        <v>9761.5499999999993</v>
      </c>
      <c r="F39" s="24">
        <v>316.2</v>
      </c>
      <c r="G39" s="24"/>
      <c r="H39" s="24"/>
      <c r="I39" s="24">
        <f>175.12</f>
        <v>175.12</v>
      </c>
    </row>
    <row r="40" spans="1:9" s="18" customFormat="1" ht="18.75" x14ac:dyDescent="0.3">
      <c r="A40" s="63" t="s">
        <v>116</v>
      </c>
      <c r="B40" s="61">
        <f t="shared" si="0"/>
        <v>3657.09</v>
      </c>
      <c r="C40" s="29">
        <f>3657.09</f>
        <v>3657.09</v>
      </c>
      <c r="D40" s="24"/>
      <c r="E40" s="24"/>
      <c r="F40" s="24"/>
      <c r="G40" s="24"/>
      <c r="H40" s="24"/>
      <c r="I40" s="24"/>
    </row>
    <row r="41" spans="1:9" ht="18.75" x14ac:dyDescent="0.3">
      <c r="A41" s="62" t="s">
        <v>194</v>
      </c>
      <c r="B41" s="61">
        <f t="shared" si="0"/>
        <v>1504.93</v>
      </c>
      <c r="C41" s="28"/>
      <c r="D41" s="8"/>
      <c r="E41" s="8">
        <v>1504.93</v>
      </c>
      <c r="F41" s="8"/>
      <c r="G41" s="8"/>
      <c r="H41" s="8"/>
      <c r="I41" s="8"/>
    </row>
    <row r="42" spans="1:9" ht="18.75" x14ac:dyDescent="0.3">
      <c r="A42" s="62" t="s">
        <v>167</v>
      </c>
      <c r="B42" s="61">
        <f t="shared" si="0"/>
        <v>3531.62</v>
      </c>
      <c r="C42" s="28"/>
      <c r="D42" s="8">
        <f>731.58+2800.04</f>
        <v>3531.62</v>
      </c>
      <c r="E42" s="8"/>
      <c r="F42" s="8"/>
      <c r="G42" s="8"/>
      <c r="H42" s="8"/>
      <c r="I42" s="8"/>
    </row>
    <row r="43" spans="1:9" s="18" customFormat="1" ht="18.75" x14ac:dyDescent="0.3">
      <c r="A43" s="63" t="s">
        <v>244</v>
      </c>
      <c r="B43" s="61">
        <f t="shared" si="0"/>
        <v>5876</v>
      </c>
      <c r="C43" s="29">
        <f>355+400+355+355+500+355+355</f>
        <v>2675</v>
      </c>
      <c r="D43" s="24">
        <f>200+258</f>
        <v>458</v>
      </c>
      <c r="E43" s="24">
        <f>399+355</f>
        <v>754</v>
      </c>
      <c r="F43" s="24">
        <f>351</f>
        <v>351</v>
      </c>
      <c r="G43" s="24">
        <f>300+288+350</f>
        <v>938</v>
      </c>
      <c r="H43" s="24">
        <f>700</f>
        <v>700</v>
      </c>
      <c r="I43" s="24"/>
    </row>
    <row r="44" spans="1:9" ht="18.75" x14ac:dyDescent="0.3">
      <c r="A44" s="62" t="s">
        <v>261</v>
      </c>
      <c r="B44" s="61">
        <f t="shared" si="0"/>
        <v>16000</v>
      </c>
      <c r="C44" s="28"/>
      <c r="D44" s="8"/>
      <c r="E44" s="8"/>
      <c r="F44" s="8">
        <v>16000</v>
      </c>
      <c r="G44" s="8"/>
      <c r="H44" s="8"/>
      <c r="I44" s="8"/>
    </row>
    <row r="45" spans="1:9" ht="18.75" x14ac:dyDescent="0.3">
      <c r="A45" s="62" t="s">
        <v>201</v>
      </c>
      <c r="B45" s="61">
        <f t="shared" si="0"/>
        <v>4752</v>
      </c>
      <c r="C45" s="28"/>
      <c r="D45" s="8"/>
      <c r="E45" s="8">
        <v>2572</v>
      </c>
      <c r="F45" s="8"/>
      <c r="G45" s="8"/>
      <c r="H45" s="8"/>
      <c r="I45" s="8">
        <v>2180</v>
      </c>
    </row>
    <row r="46" spans="1:9" ht="18.75" x14ac:dyDescent="0.3">
      <c r="A46" s="62" t="s">
        <v>198</v>
      </c>
      <c r="B46" s="61">
        <f t="shared" si="0"/>
        <v>3353.6</v>
      </c>
      <c r="C46" s="28"/>
      <c r="D46" s="8"/>
      <c r="E46" s="8">
        <v>1800</v>
      </c>
      <c r="F46" s="8"/>
      <c r="G46" s="8"/>
      <c r="H46" s="8"/>
      <c r="I46" s="8">
        <f>172.8+1380.8</f>
        <v>1553.6</v>
      </c>
    </row>
    <row r="47" spans="1:9" ht="18.75" x14ac:dyDescent="0.3">
      <c r="A47" s="62" t="s">
        <v>243</v>
      </c>
      <c r="B47" s="61">
        <f t="shared" si="0"/>
        <v>2094.16</v>
      </c>
      <c r="C47" s="28"/>
      <c r="D47" s="8"/>
      <c r="E47" s="8"/>
      <c r="F47" s="8">
        <v>2094.16</v>
      </c>
      <c r="G47" s="8"/>
      <c r="H47" s="8"/>
      <c r="I47" s="8"/>
    </row>
    <row r="48" spans="1:9" s="18" customFormat="1" ht="18.75" x14ac:dyDescent="0.3">
      <c r="A48" s="63" t="s">
        <v>18</v>
      </c>
      <c r="B48" s="61">
        <f t="shared" ref="B48:B96" si="1">SUM(C48:I48)</f>
        <v>30910.959999999995</v>
      </c>
      <c r="C48" s="29">
        <f>387+5708.9+120+239.61+9059.9+231+379.8</f>
        <v>16126.21</v>
      </c>
      <c r="D48" s="24">
        <f>64.92+356</f>
        <v>420.92</v>
      </c>
      <c r="E48" s="24"/>
      <c r="F48" s="24">
        <f>2583.85+194.4</f>
        <v>2778.25</v>
      </c>
      <c r="G48" s="24">
        <f>2394.66+467.95+1304.27+1130.25+139.24</f>
        <v>5436.369999999999</v>
      </c>
      <c r="H48" s="24">
        <f>440.8+664.25+893.05+100</f>
        <v>2098.1</v>
      </c>
      <c r="I48" s="24">
        <f>1527.9+2267.16+256.05</f>
        <v>4051.11</v>
      </c>
    </row>
    <row r="49" spans="1:9" s="18" customFormat="1" ht="18.75" x14ac:dyDescent="0.3">
      <c r="A49" s="63" t="s">
        <v>10</v>
      </c>
      <c r="B49" s="61">
        <f t="shared" si="1"/>
        <v>13798.179999999998</v>
      </c>
      <c r="C49" s="29">
        <f>2592+1050+500+285+4805.94+1200+537.18</f>
        <v>10970.119999999999</v>
      </c>
      <c r="D49" s="24"/>
      <c r="E49" s="24">
        <v>1280</v>
      </c>
      <c r="F49" s="24"/>
      <c r="G49" s="24"/>
      <c r="H49" s="24"/>
      <c r="I49" s="24">
        <f>1040+508.06</f>
        <v>1548.06</v>
      </c>
    </row>
    <row r="50" spans="1:9" s="18" customFormat="1" ht="18.75" x14ac:dyDescent="0.3">
      <c r="A50" s="63" t="s">
        <v>143</v>
      </c>
      <c r="B50" s="61">
        <f t="shared" si="1"/>
        <v>6424.13</v>
      </c>
      <c r="C50" s="29">
        <f>670.5+2120.13+896.9+2736.6</f>
        <v>6424.13</v>
      </c>
      <c r="D50" s="24"/>
      <c r="E50" s="24"/>
      <c r="F50" s="24"/>
      <c r="G50" s="24"/>
      <c r="H50" s="24"/>
      <c r="I50" s="24"/>
    </row>
    <row r="51" spans="1:9" s="18" customFormat="1" ht="18.75" x14ac:dyDescent="0.3">
      <c r="A51" s="63" t="s">
        <v>21</v>
      </c>
      <c r="B51" s="61">
        <f t="shared" si="1"/>
        <v>630</v>
      </c>
      <c r="C51" s="29"/>
      <c r="D51" s="24"/>
      <c r="E51" s="24">
        <v>630</v>
      </c>
      <c r="F51" s="24"/>
      <c r="G51" s="24"/>
      <c r="H51" s="24"/>
      <c r="I51" s="24"/>
    </row>
    <row r="52" spans="1:9" ht="18.75" x14ac:dyDescent="0.3">
      <c r="A52" s="62" t="s">
        <v>170</v>
      </c>
      <c r="B52" s="61">
        <f t="shared" si="1"/>
        <v>3132.96</v>
      </c>
      <c r="C52" s="28"/>
      <c r="D52" s="8">
        <v>2562</v>
      </c>
      <c r="E52" s="8">
        <v>570.96</v>
      </c>
      <c r="F52" s="8"/>
      <c r="G52" s="8"/>
      <c r="H52" s="8"/>
      <c r="I52" s="8"/>
    </row>
    <row r="53" spans="1:9" s="18" customFormat="1" ht="18.75" x14ac:dyDescent="0.3">
      <c r="A53" s="63" t="s">
        <v>262</v>
      </c>
      <c r="B53" s="61">
        <f t="shared" si="1"/>
        <v>11407.45</v>
      </c>
      <c r="C53" s="29">
        <f>360.11+1330.21+5965.05</f>
        <v>7655.3700000000008</v>
      </c>
      <c r="D53" s="24"/>
      <c r="E53" s="24"/>
      <c r="F53" s="24"/>
      <c r="G53" s="24"/>
      <c r="H53" s="24">
        <v>2679.31</v>
      </c>
      <c r="I53" s="24">
        <f>1072.77</f>
        <v>1072.77</v>
      </c>
    </row>
    <row r="54" spans="1:9" s="18" customFormat="1" ht="18.75" x14ac:dyDescent="0.3">
      <c r="A54" s="63" t="s">
        <v>145</v>
      </c>
      <c r="B54" s="61">
        <f t="shared" si="1"/>
        <v>14700</v>
      </c>
      <c r="C54" s="29">
        <v>14700</v>
      </c>
      <c r="D54" s="24"/>
      <c r="E54" s="24"/>
      <c r="F54" s="24"/>
      <c r="G54" s="24"/>
      <c r="H54" s="24"/>
      <c r="I54" s="24"/>
    </row>
    <row r="55" spans="1:9" s="18" customFormat="1" ht="18.75" x14ac:dyDescent="0.3">
      <c r="A55" s="63" t="s">
        <v>142</v>
      </c>
      <c r="B55" s="61">
        <f t="shared" si="1"/>
        <v>768.79</v>
      </c>
      <c r="C55" s="29">
        <v>768.79</v>
      </c>
      <c r="D55" s="24"/>
      <c r="E55" s="24"/>
      <c r="F55" s="24"/>
      <c r="G55" s="24"/>
      <c r="H55" s="24"/>
      <c r="I55" s="24"/>
    </row>
    <row r="56" spans="1:9" ht="18.75" x14ac:dyDescent="0.3">
      <c r="A56" s="62" t="s">
        <v>219</v>
      </c>
      <c r="B56" s="61">
        <f t="shared" si="1"/>
        <v>15029.5</v>
      </c>
      <c r="C56" s="28"/>
      <c r="D56" s="8"/>
      <c r="E56" s="8"/>
      <c r="F56" s="8"/>
      <c r="G56" s="8">
        <v>15029.5</v>
      </c>
      <c r="H56" s="8"/>
      <c r="I56" s="8"/>
    </row>
    <row r="57" spans="1:9" s="18" customFormat="1" ht="18.75" x14ac:dyDescent="0.3">
      <c r="A57" s="63" t="s">
        <v>126</v>
      </c>
      <c r="B57" s="61">
        <f t="shared" si="1"/>
        <v>3089</v>
      </c>
      <c r="C57" s="29">
        <v>233</v>
      </c>
      <c r="D57" s="24"/>
      <c r="E57" s="24">
        <v>660</v>
      </c>
      <c r="F57" s="24">
        <v>2196</v>
      </c>
      <c r="G57" s="24"/>
      <c r="H57" s="24"/>
      <c r="I57" s="24"/>
    </row>
    <row r="58" spans="1:9" s="18" customFormat="1" ht="18.75" x14ac:dyDescent="0.3">
      <c r="A58" s="63" t="s">
        <v>242</v>
      </c>
      <c r="B58" s="61">
        <f t="shared" si="1"/>
        <v>7967.76</v>
      </c>
      <c r="C58" s="29">
        <f>1926.06+6041.7</f>
        <v>7967.76</v>
      </c>
      <c r="D58" s="24"/>
      <c r="E58" s="24"/>
      <c r="F58" s="24"/>
      <c r="G58" s="24"/>
      <c r="H58" s="24"/>
      <c r="I58" s="24"/>
    </row>
    <row r="59" spans="1:9" ht="18.75" x14ac:dyDescent="0.3">
      <c r="A59" s="62" t="s">
        <v>221</v>
      </c>
      <c r="B59" s="61">
        <f t="shared" si="1"/>
        <v>9714.48</v>
      </c>
      <c r="C59" s="28"/>
      <c r="D59" s="8"/>
      <c r="E59" s="8"/>
      <c r="F59" s="8"/>
      <c r="G59" s="8">
        <v>9714.48</v>
      </c>
      <c r="H59" s="8"/>
      <c r="I59" s="8"/>
    </row>
    <row r="60" spans="1:9" s="18" customFormat="1" ht="18.75" x14ac:dyDescent="0.3">
      <c r="A60" s="63" t="s">
        <v>118</v>
      </c>
      <c r="B60" s="61">
        <f t="shared" si="1"/>
        <v>454.2</v>
      </c>
      <c r="C60" s="29"/>
      <c r="D60" s="24"/>
      <c r="E60" s="24"/>
      <c r="F60" s="24"/>
      <c r="G60" s="24"/>
      <c r="H60" s="24"/>
      <c r="I60" s="24">
        <v>454.2</v>
      </c>
    </row>
    <row r="61" spans="1:9" s="18" customFormat="1" ht="18.75" x14ac:dyDescent="0.3">
      <c r="A61" s="63" t="s">
        <v>94</v>
      </c>
      <c r="B61" s="61">
        <f t="shared" si="1"/>
        <v>1030</v>
      </c>
      <c r="C61" s="29"/>
      <c r="D61" s="24"/>
      <c r="E61" s="24"/>
      <c r="F61" s="24"/>
      <c r="G61" s="24"/>
      <c r="H61" s="24">
        <v>1030</v>
      </c>
      <c r="I61" s="24"/>
    </row>
    <row r="62" spans="1:9" s="18" customFormat="1" ht="18.75" x14ac:dyDescent="0.3">
      <c r="A62" s="63" t="s">
        <v>57</v>
      </c>
      <c r="B62" s="61">
        <f t="shared" si="1"/>
        <v>581.99</v>
      </c>
      <c r="C62" s="29"/>
      <c r="D62" s="24"/>
      <c r="E62" s="24">
        <v>324</v>
      </c>
      <c r="F62" s="24"/>
      <c r="G62" s="24"/>
      <c r="H62" s="24"/>
      <c r="I62" s="24">
        <v>257.99</v>
      </c>
    </row>
    <row r="63" spans="1:9" s="18" customFormat="1" ht="18.75" x14ac:dyDescent="0.3">
      <c r="A63" s="63" t="s">
        <v>122</v>
      </c>
      <c r="B63" s="61">
        <f t="shared" si="1"/>
        <v>12966.740000000002</v>
      </c>
      <c r="C63" s="29">
        <f>3798+175.5+351</f>
        <v>4324.5</v>
      </c>
      <c r="D63" s="24"/>
      <c r="E63" s="24"/>
      <c r="F63" s="24"/>
      <c r="G63" s="24"/>
      <c r="H63" s="24"/>
      <c r="I63" s="24">
        <f>656.94+5269.5+427.5+785.3+594+909</f>
        <v>8642.2400000000016</v>
      </c>
    </row>
    <row r="64" spans="1:9" ht="18.75" x14ac:dyDescent="0.3">
      <c r="A64" s="62" t="s">
        <v>197</v>
      </c>
      <c r="B64" s="61">
        <f t="shared" si="1"/>
        <v>162.6</v>
      </c>
      <c r="C64" s="28"/>
      <c r="D64" s="8"/>
      <c r="E64" s="8">
        <v>162.6</v>
      </c>
      <c r="F64" s="8"/>
      <c r="G64" s="8"/>
      <c r="H64" s="8"/>
      <c r="I64" s="8"/>
    </row>
    <row r="65" spans="1:9" ht="18.75" x14ac:dyDescent="0.3">
      <c r="A65" s="62" t="s">
        <v>263</v>
      </c>
      <c r="B65" s="61">
        <f t="shared" si="1"/>
        <v>5731.2</v>
      </c>
      <c r="C65" s="28"/>
      <c r="D65" s="8">
        <v>5731.2</v>
      </c>
      <c r="E65" s="8"/>
      <c r="F65" s="8"/>
      <c r="G65" s="8"/>
      <c r="H65" s="8"/>
      <c r="I65" s="8"/>
    </row>
    <row r="66" spans="1:9" ht="18.75" x14ac:dyDescent="0.3">
      <c r="A66" s="62" t="s">
        <v>264</v>
      </c>
      <c r="B66" s="61">
        <f t="shared" si="1"/>
        <v>1579.2</v>
      </c>
      <c r="C66" s="28"/>
      <c r="D66" s="8"/>
      <c r="E66" s="8"/>
      <c r="F66" s="8"/>
      <c r="G66" s="8">
        <v>1579.2</v>
      </c>
      <c r="H66" s="8"/>
      <c r="I66" s="8"/>
    </row>
    <row r="67" spans="1:9" s="18" customFormat="1" ht="18.75" x14ac:dyDescent="0.3">
      <c r="A67" s="63" t="s">
        <v>106</v>
      </c>
      <c r="B67" s="61">
        <f t="shared" si="1"/>
        <v>1280</v>
      </c>
      <c r="C67" s="29">
        <f>1280</f>
        <v>1280</v>
      </c>
      <c r="D67" s="24"/>
      <c r="E67" s="24"/>
      <c r="F67" s="24"/>
      <c r="G67" s="24"/>
      <c r="H67" s="24"/>
      <c r="I67" s="24"/>
    </row>
    <row r="68" spans="1:9" s="18" customFormat="1" ht="18.75" x14ac:dyDescent="0.3">
      <c r="A68" s="63" t="s">
        <v>75</v>
      </c>
      <c r="B68" s="61">
        <f t="shared" si="1"/>
        <v>2210</v>
      </c>
      <c r="C68" s="29"/>
      <c r="D68" s="24"/>
      <c r="E68" s="24"/>
      <c r="F68" s="24"/>
      <c r="G68" s="24"/>
      <c r="H68" s="24">
        <v>2210</v>
      </c>
      <c r="I68" s="24"/>
    </row>
    <row r="69" spans="1:9" s="18" customFormat="1" ht="18.75" x14ac:dyDescent="0.3">
      <c r="A69" s="63" t="s">
        <v>240</v>
      </c>
      <c r="B69" s="61">
        <f t="shared" si="1"/>
        <v>78242.600000000006</v>
      </c>
      <c r="C69" s="29">
        <f>8658.18+7928.16+7599.18+1496.64+2368.92+7621.44+503.91</f>
        <v>36176.430000000008</v>
      </c>
      <c r="D69" s="24"/>
      <c r="E69" s="24">
        <f>2518.8+4534.2</f>
        <v>7053</v>
      </c>
      <c r="F69" s="24">
        <v>7445.58</v>
      </c>
      <c r="G69" s="24">
        <v>1568.95</v>
      </c>
      <c r="H69" s="24">
        <f>9028.14+1242.18+3208+2367.42</f>
        <v>15845.74</v>
      </c>
      <c r="I69" s="24">
        <f>1656.24+8496.66</f>
        <v>10152.9</v>
      </c>
    </row>
    <row r="70" spans="1:9" ht="18.75" x14ac:dyDescent="0.3">
      <c r="A70" s="62" t="s">
        <v>241</v>
      </c>
      <c r="B70" s="61">
        <f t="shared" si="1"/>
        <v>10605</v>
      </c>
      <c r="C70" s="28"/>
      <c r="D70" s="8">
        <v>10605</v>
      </c>
      <c r="E70" s="8"/>
      <c r="F70" s="8"/>
      <c r="G70" s="8"/>
      <c r="H70" s="8"/>
      <c r="I70" s="8"/>
    </row>
    <row r="71" spans="1:9" s="18" customFormat="1" ht="18.75" x14ac:dyDescent="0.3">
      <c r="A71" s="63" t="s">
        <v>238</v>
      </c>
      <c r="B71" s="61">
        <f>SUM(C71:I71)+1610</f>
        <v>59676.68</v>
      </c>
      <c r="C71" s="29">
        <f>28066.38+30000.3</f>
        <v>58066.68</v>
      </c>
      <c r="D71" s="24"/>
      <c r="E71" s="24"/>
      <c r="F71" s="24"/>
      <c r="G71" s="24"/>
      <c r="H71" s="24"/>
      <c r="I71" s="24"/>
    </row>
    <row r="72" spans="1:9" ht="18.75" x14ac:dyDescent="0.3">
      <c r="A72" s="62" t="s">
        <v>239</v>
      </c>
      <c r="B72" s="61">
        <f t="shared" si="1"/>
        <v>400</v>
      </c>
      <c r="C72" s="28"/>
      <c r="D72" s="8"/>
      <c r="E72" s="8"/>
      <c r="F72" s="8"/>
      <c r="G72" s="8"/>
      <c r="H72" s="8">
        <v>400</v>
      </c>
      <c r="I72" s="8"/>
    </row>
    <row r="73" spans="1:9" ht="18.75" x14ac:dyDescent="0.3">
      <c r="A73" s="62" t="s">
        <v>180</v>
      </c>
      <c r="B73" s="61">
        <f t="shared" si="1"/>
        <v>6722</v>
      </c>
      <c r="C73" s="28"/>
      <c r="D73" s="8">
        <v>1622</v>
      </c>
      <c r="E73" s="8">
        <v>5100</v>
      </c>
      <c r="F73" s="8"/>
      <c r="G73" s="8"/>
      <c r="H73" s="8"/>
      <c r="I73" s="8"/>
    </row>
    <row r="74" spans="1:9" s="18" customFormat="1" ht="18.75" x14ac:dyDescent="0.3">
      <c r="A74" s="63" t="s">
        <v>138</v>
      </c>
      <c r="B74" s="61">
        <f t="shared" si="1"/>
        <v>47815.740000000005</v>
      </c>
      <c r="C74" s="29">
        <f>325+3280+402+4680+485+500+1339.91+656</f>
        <v>11667.91</v>
      </c>
      <c r="D74" s="24">
        <f>809.1</f>
        <v>809.1</v>
      </c>
      <c r="E74" s="24"/>
      <c r="F74" s="24">
        <v>2047.4</v>
      </c>
      <c r="G74" s="24">
        <f>22387.63</f>
        <v>22387.63</v>
      </c>
      <c r="H74" s="24"/>
      <c r="I74" s="24">
        <f>2920.05-656.94+1490+638.72+618.3+109.62+186.17+715.85+2183.74+881.63+135+2036.38-196.74-158.08</f>
        <v>10903.7</v>
      </c>
    </row>
    <row r="75" spans="1:9" ht="18.75" x14ac:dyDescent="0.3">
      <c r="A75" s="62" t="s">
        <v>171</v>
      </c>
      <c r="B75" s="61">
        <f t="shared" si="1"/>
        <v>25587.84</v>
      </c>
      <c r="C75" s="28"/>
      <c r="D75" s="8">
        <f>734.52+12827.1+312.3+36+174.86+3857.83+364</f>
        <v>18306.61</v>
      </c>
      <c r="E75" s="8"/>
      <c r="F75" s="8"/>
      <c r="G75" s="8">
        <f>1771.77</f>
        <v>1771.77</v>
      </c>
      <c r="H75" s="8">
        <f>2954+1193.46+1362</f>
        <v>5509.46</v>
      </c>
      <c r="I75" s="8"/>
    </row>
    <row r="76" spans="1:9" ht="18.75" x14ac:dyDescent="0.3">
      <c r="A76" s="62" t="s">
        <v>172</v>
      </c>
      <c r="B76" s="61">
        <f t="shared" si="1"/>
        <v>13266.31</v>
      </c>
      <c r="C76" s="28"/>
      <c r="D76" s="8">
        <f>3081+7022.89+3162.42</f>
        <v>13266.31</v>
      </c>
      <c r="E76" s="8"/>
      <c r="F76" s="8"/>
      <c r="G76" s="8"/>
      <c r="H76" s="8"/>
      <c r="I76" s="8"/>
    </row>
    <row r="77" spans="1:9" ht="18.75" x14ac:dyDescent="0.3">
      <c r="A77" s="62" t="s">
        <v>181</v>
      </c>
      <c r="B77" s="61">
        <f t="shared" si="1"/>
        <v>11736</v>
      </c>
      <c r="C77" s="28"/>
      <c r="D77" s="8">
        <v>11736</v>
      </c>
      <c r="E77" s="8"/>
      <c r="F77" s="8"/>
      <c r="G77" s="8"/>
      <c r="H77" s="8"/>
      <c r="I77" s="8"/>
    </row>
    <row r="78" spans="1:9" s="18" customFormat="1" ht="18.75" x14ac:dyDescent="0.3">
      <c r="A78" s="63" t="s">
        <v>265</v>
      </c>
      <c r="B78" s="61">
        <f t="shared" si="1"/>
        <v>8627.5</v>
      </c>
      <c r="C78" s="29">
        <f>8627.5</f>
        <v>8627.5</v>
      </c>
      <c r="D78" s="24"/>
      <c r="E78" s="24"/>
      <c r="F78" s="24"/>
      <c r="G78" s="24"/>
      <c r="H78" s="24"/>
      <c r="I78" s="24"/>
    </row>
    <row r="79" spans="1:9" s="18" customFormat="1" ht="18.75" x14ac:dyDescent="0.3">
      <c r="A79" s="63" t="s">
        <v>266</v>
      </c>
      <c r="B79" s="61">
        <f t="shared" si="1"/>
        <v>1776.09</v>
      </c>
      <c r="C79" s="29"/>
      <c r="D79" s="24"/>
      <c r="E79" s="24"/>
      <c r="F79" s="24">
        <f>1301.07+228.61</f>
        <v>1529.6799999999998</v>
      </c>
      <c r="G79" s="24">
        <f>246.41</f>
        <v>246.41</v>
      </c>
      <c r="H79" s="24"/>
      <c r="I79" s="24"/>
    </row>
    <row r="80" spans="1:9" s="18" customFormat="1" ht="18.75" x14ac:dyDescent="0.3">
      <c r="A80" s="63" t="s">
        <v>267</v>
      </c>
      <c r="B80" s="61">
        <f t="shared" si="1"/>
        <v>339.8</v>
      </c>
      <c r="C80" s="29"/>
      <c r="D80" s="24"/>
      <c r="E80" s="24"/>
      <c r="F80" s="24"/>
      <c r="G80" s="24">
        <v>339.8</v>
      </c>
      <c r="H80" s="24"/>
      <c r="I80" s="24"/>
    </row>
    <row r="81" spans="1:9" s="18" customFormat="1" ht="18.75" x14ac:dyDescent="0.3">
      <c r="A81" s="63" t="s">
        <v>268</v>
      </c>
      <c r="B81" s="61">
        <f t="shared" si="1"/>
        <v>51638.91</v>
      </c>
      <c r="C81" s="29">
        <f>2771.33+11525.1+6842.6+366</f>
        <v>21505.03</v>
      </c>
      <c r="D81" s="24"/>
      <c r="E81" s="24">
        <f>897.08+290.31+4731.2</f>
        <v>5918.59</v>
      </c>
      <c r="F81" s="24">
        <v>461.43</v>
      </c>
      <c r="G81" s="24">
        <f>2380.44</f>
        <v>2380.44</v>
      </c>
      <c r="H81" s="24">
        <f>17425.36+3948.06</f>
        <v>21373.420000000002</v>
      </c>
      <c r="I81" s="24"/>
    </row>
    <row r="82" spans="1:9" ht="18.75" x14ac:dyDescent="0.3">
      <c r="A82" s="63" t="s">
        <v>300</v>
      </c>
      <c r="B82" s="61">
        <f t="shared" si="1"/>
        <v>19368</v>
      </c>
      <c r="C82" s="28"/>
      <c r="D82" s="8">
        <v>19368</v>
      </c>
      <c r="E82" s="8"/>
      <c r="F82" s="8"/>
      <c r="G82" s="8"/>
      <c r="H82" s="8"/>
      <c r="I82" s="8"/>
    </row>
    <row r="83" spans="1:9" ht="18.75" x14ac:dyDescent="0.3">
      <c r="A83" s="62" t="s">
        <v>269</v>
      </c>
      <c r="B83" s="61">
        <f t="shared" si="1"/>
        <v>42060</v>
      </c>
      <c r="C83" s="28"/>
      <c r="D83" s="8">
        <v>21030</v>
      </c>
      <c r="E83" s="8"/>
      <c r="F83" s="8">
        <v>21030</v>
      </c>
      <c r="G83" s="8"/>
      <c r="H83" s="8"/>
      <c r="I83" s="8"/>
    </row>
    <row r="84" spans="1:9" ht="18.75" x14ac:dyDescent="0.3">
      <c r="A84" s="62" t="s">
        <v>270</v>
      </c>
      <c r="B84" s="61">
        <f t="shared" si="1"/>
        <v>1511.5</v>
      </c>
      <c r="C84" s="28"/>
      <c r="D84" s="8"/>
      <c r="E84" s="8"/>
      <c r="F84" s="8"/>
      <c r="G84" s="8"/>
      <c r="H84" s="8">
        <v>1511.5</v>
      </c>
      <c r="I84" s="8"/>
    </row>
    <row r="85" spans="1:9" ht="18.75" x14ac:dyDescent="0.3">
      <c r="A85" s="62" t="s">
        <v>163</v>
      </c>
      <c r="B85" s="61">
        <f t="shared" si="1"/>
        <v>3699</v>
      </c>
      <c r="C85" s="28"/>
      <c r="D85" s="8">
        <v>3699</v>
      </c>
      <c r="E85" s="8"/>
      <c r="F85" s="8"/>
      <c r="G85" s="8"/>
      <c r="H85" s="8"/>
      <c r="I85" s="8"/>
    </row>
    <row r="86" spans="1:9" ht="18.75" x14ac:dyDescent="0.3">
      <c r="A86" s="62" t="s">
        <v>271</v>
      </c>
      <c r="B86" s="61">
        <f t="shared" si="1"/>
        <v>91.52</v>
      </c>
      <c r="C86" s="28"/>
      <c r="D86" s="8"/>
      <c r="E86" s="8"/>
      <c r="F86" s="8">
        <v>91.52</v>
      </c>
      <c r="G86" s="8"/>
      <c r="H86" s="8"/>
      <c r="I86" s="8"/>
    </row>
    <row r="87" spans="1:9" ht="18.75" x14ac:dyDescent="0.3">
      <c r="A87" s="62" t="s">
        <v>272</v>
      </c>
      <c r="B87" s="61">
        <f t="shared" si="1"/>
        <v>15000</v>
      </c>
      <c r="C87" s="28"/>
      <c r="D87" s="8">
        <v>15000</v>
      </c>
      <c r="E87" s="8"/>
      <c r="F87" s="8"/>
      <c r="G87" s="8"/>
      <c r="H87" s="8"/>
      <c r="I87" s="8"/>
    </row>
    <row r="88" spans="1:9" ht="18.75" x14ac:dyDescent="0.3">
      <c r="A88" s="62" t="s">
        <v>273</v>
      </c>
      <c r="B88" s="61">
        <f t="shared" si="1"/>
        <v>6144</v>
      </c>
      <c r="C88" s="28"/>
      <c r="D88" s="8"/>
      <c r="E88" s="8"/>
      <c r="F88" s="8"/>
      <c r="G88" s="8"/>
      <c r="H88" s="8">
        <v>6144</v>
      </c>
      <c r="I88" s="8"/>
    </row>
    <row r="89" spans="1:9" s="18" customFormat="1" ht="18.75" x14ac:dyDescent="0.3">
      <c r="A89" s="63" t="s">
        <v>108</v>
      </c>
      <c r="B89" s="61">
        <f t="shared" si="1"/>
        <v>13360.849999999999</v>
      </c>
      <c r="C89" s="29">
        <f>145.08+4147.82+2398.03+400+832.82+271+562.95+848.98+107.88+214</f>
        <v>9928.56</v>
      </c>
      <c r="D89" s="24"/>
      <c r="E89" s="24"/>
      <c r="F89" s="24"/>
      <c r="G89" s="24"/>
      <c r="H89" s="24">
        <v>2849.39</v>
      </c>
      <c r="I89" s="24">
        <v>582.9</v>
      </c>
    </row>
    <row r="90" spans="1:9" s="18" customFormat="1" ht="18.75" x14ac:dyDescent="0.3">
      <c r="A90" s="63" t="s">
        <v>31</v>
      </c>
      <c r="B90" s="61">
        <f t="shared" si="1"/>
        <v>4861</v>
      </c>
      <c r="C90" s="29"/>
      <c r="D90" s="24"/>
      <c r="E90" s="24"/>
      <c r="F90" s="24"/>
      <c r="G90" s="24"/>
      <c r="H90" s="24"/>
      <c r="I90" s="24">
        <v>4861</v>
      </c>
    </row>
    <row r="91" spans="1:9" ht="18.75" x14ac:dyDescent="0.3">
      <c r="A91" s="62" t="s">
        <v>218</v>
      </c>
      <c r="B91" s="61">
        <f t="shared" si="1"/>
        <v>800</v>
      </c>
      <c r="C91" s="28"/>
      <c r="D91" s="8"/>
      <c r="E91" s="8"/>
      <c r="F91" s="8">
        <v>400</v>
      </c>
      <c r="G91" s="8">
        <v>400</v>
      </c>
      <c r="H91" s="8"/>
      <c r="I91" s="8"/>
    </row>
    <row r="92" spans="1:9" ht="18.75" x14ac:dyDescent="0.3">
      <c r="A92" s="62" t="s">
        <v>274</v>
      </c>
      <c r="B92" s="61">
        <f t="shared" si="1"/>
        <v>439.92</v>
      </c>
      <c r="C92" s="28"/>
      <c r="D92" s="8"/>
      <c r="E92" s="8"/>
      <c r="F92" s="8"/>
      <c r="G92" s="8"/>
      <c r="H92" s="8">
        <v>439.92</v>
      </c>
      <c r="I92" s="8"/>
    </row>
    <row r="93" spans="1:9" s="18" customFormat="1" ht="18.75" x14ac:dyDescent="0.3">
      <c r="A93" s="63" t="s">
        <v>17</v>
      </c>
      <c r="B93" s="61">
        <f t="shared" si="1"/>
        <v>50432.369999999995</v>
      </c>
      <c r="C93" s="29">
        <f>25358.89+6370+6039.48+2570</f>
        <v>40338.369999999995</v>
      </c>
      <c r="D93" s="24">
        <v>1920</v>
      </c>
      <c r="E93" s="24"/>
      <c r="F93" s="24">
        <v>494</v>
      </c>
      <c r="G93" s="24">
        <v>3840</v>
      </c>
      <c r="H93" s="24">
        <f>1920</f>
        <v>1920</v>
      </c>
      <c r="I93" s="24">
        <v>1920</v>
      </c>
    </row>
    <row r="94" spans="1:9" s="18" customFormat="1" ht="18.75" x14ac:dyDescent="0.3">
      <c r="A94" s="63" t="s">
        <v>275</v>
      </c>
      <c r="B94" s="61">
        <f t="shared" si="1"/>
        <v>1592.8</v>
      </c>
      <c r="C94" s="29">
        <f>1592.8</f>
        <v>1592.8</v>
      </c>
      <c r="D94" s="24"/>
      <c r="E94" s="24"/>
      <c r="F94" s="24"/>
      <c r="G94" s="24"/>
      <c r="H94" s="24"/>
      <c r="I94" s="24"/>
    </row>
    <row r="95" spans="1:9" s="18" customFormat="1" ht="18.75" x14ac:dyDescent="0.3">
      <c r="A95" s="63" t="s">
        <v>63</v>
      </c>
      <c r="B95" s="61">
        <f t="shared" si="1"/>
        <v>2400</v>
      </c>
      <c r="C95" s="29"/>
      <c r="D95" s="24"/>
      <c r="E95" s="24"/>
      <c r="F95" s="24"/>
      <c r="G95" s="24"/>
      <c r="H95" s="24">
        <v>2400</v>
      </c>
      <c r="I95" s="24"/>
    </row>
    <row r="96" spans="1:9" ht="18.75" x14ac:dyDescent="0.3">
      <c r="A96" s="62" t="s">
        <v>276</v>
      </c>
      <c r="B96" s="61">
        <f t="shared" si="1"/>
        <v>1322</v>
      </c>
      <c r="C96" s="28"/>
      <c r="D96" s="8"/>
      <c r="E96" s="8"/>
      <c r="F96" s="8">
        <v>292</v>
      </c>
      <c r="G96" s="8">
        <v>292</v>
      </c>
      <c r="H96" s="8">
        <v>402</v>
      </c>
      <c r="I96" s="8">
        <v>336</v>
      </c>
    </row>
    <row r="97" spans="1:9" ht="18.75" x14ac:dyDescent="0.3">
      <c r="A97" s="62" t="s">
        <v>312</v>
      </c>
      <c r="B97" s="61">
        <f t="shared" ref="B97:B138" si="2">SUM(C97:I97)</f>
        <v>320</v>
      </c>
      <c r="C97" s="28"/>
      <c r="D97" s="8"/>
      <c r="E97" s="8"/>
      <c r="F97" s="8">
        <v>320</v>
      </c>
      <c r="G97" s="8"/>
      <c r="H97" s="8"/>
      <c r="I97" s="8"/>
    </row>
    <row r="98" spans="1:9" ht="18.75" x14ac:dyDescent="0.3">
      <c r="A98" s="62" t="s">
        <v>277</v>
      </c>
      <c r="B98" s="61">
        <f t="shared" si="2"/>
        <v>670</v>
      </c>
      <c r="C98" s="28"/>
      <c r="D98" s="8"/>
      <c r="E98" s="8"/>
      <c r="F98" s="8"/>
      <c r="G98" s="8">
        <v>670</v>
      </c>
      <c r="H98" s="8"/>
      <c r="I98" s="8"/>
    </row>
    <row r="99" spans="1:9" ht="18.75" x14ac:dyDescent="0.3">
      <c r="A99" s="62" t="s">
        <v>278</v>
      </c>
      <c r="B99" s="61">
        <f t="shared" si="2"/>
        <v>535.38</v>
      </c>
      <c r="C99" s="28"/>
      <c r="D99" s="8"/>
      <c r="E99" s="8"/>
      <c r="F99" s="8">
        <v>535.38</v>
      </c>
      <c r="G99" s="8"/>
      <c r="H99" s="8"/>
      <c r="I99" s="8"/>
    </row>
    <row r="100" spans="1:9" s="18" customFormat="1" ht="18.75" x14ac:dyDescent="0.3">
      <c r="A100" s="63" t="s">
        <v>311</v>
      </c>
      <c r="B100" s="61">
        <f t="shared" si="2"/>
        <v>17094</v>
      </c>
      <c r="C100" s="29">
        <v>17094</v>
      </c>
      <c r="D100" s="24"/>
      <c r="E100" s="24"/>
      <c r="F100" s="24"/>
      <c r="G100" s="24"/>
      <c r="H100" s="24"/>
      <c r="I100" s="24"/>
    </row>
    <row r="101" spans="1:9" ht="18.75" x14ac:dyDescent="0.3">
      <c r="A101" s="62" t="s">
        <v>279</v>
      </c>
      <c r="B101" s="61">
        <f t="shared" si="2"/>
        <v>10676.4</v>
      </c>
      <c r="C101" s="28"/>
      <c r="D101" s="8">
        <v>10676.4</v>
      </c>
      <c r="E101" s="8"/>
      <c r="F101" s="8"/>
      <c r="G101" s="8"/>
      <c r="H101" s="8"/>
      <c r="I101" s="8"/>
    </row>
    <row r="102" spans="1:9" ht="18.75" x14ac:dyDescent="0.3">
      <c r="A102" s="62" t="s">
        <v>233</v>
      </c>
      <c r="B102" s="61">
        <f t="shared" si="2"/>
        <v>465.74</v>
      </c>
      <c r="C102" s="28"/>
      <c r="D102" s="8"/>
      <c r="E102" s="8"/>
      <c r="F102" s="8"/>
      <c r="G102" s="8"/>
      <c r="H102" s="8"/>
      <c r="I102" s="8">
        <v>465.74</v>
      </c>
    </row>
    <row r="103" spans="1:9" ht="18.75" x14ac:dyDescent="0.3">
      <c r="A103" s="62" t="s">
        <v>314</v>
      </c>
      <c r="B103" s="61">
        <f t="shared" si="2"/>
        <v>19310.440000000002</v>
      </c>
      <c r="C103" s="28"/>
      <c r="D103" s="8">
        <v>16192.36</v>
      </c>
      <c r="E103" s="8">
        <v>3118.08</v>
      </c>
      <c r="F103" s="8"/>
      <c r="G103" s="8"/>
      <c r="H103" s="8"/>
      <c r="I103" s="8"/>
    </row>
    <row r="104" spans="1:9" s="18" customFormat="1" ht="18.75" x14ac:dyDescent="0.3">
      <c r="A104" s="63" t="s">
        <v>280</v>
      </c>
      <c r="B104" s="61">
        <f t="shared" si="2"/>
        <v>25009.5</v>
      </c>
      <c r="C104" s="29">
        <f>1725+679.5+2470+400</f>
        <v>5274.5</v>
      </c>
      <c r="D104" s="24"/>
      <c r="E104" s="24"/>
      <c r="F104" s="24">
        <v>5445</v>
      </c>
      <c r="G104" s="24">
        <v>1580</v>
      </c>
      <c r="H104" s="24">
        <f>1105+11605</f>
        <v>12710</v>
      </c>
      <c r="I104" s="24"/>
    </row>
    <row r="105" spans="1:9" ht="18.75" x14ac:dyDescent="0.3">
      <c r="A105" s="62" t="s">
        <v>281</v>
      </c>
      <c r="B105" s="61">
        <f t="shared" si="2"/>
        <v>950</v>
      </c>
      <c r="C105" s="28"/>
      <c r="D105" s="8"/>
      <c r="E105" s="8">
        <v>950</v>
      </c>
      <c r="F105" s="8"/>
      <c r="G105" s="8"/>
      <c r="H105" s="8"/>
      <c r="I105" s="8"/>
    </row>
    <row r="106" spans="1:9" s="18" customFormat="1" ht="18.75" x14ac:dyDescent="0.3">
      <c r="A106" s="63" t="s">
        <v>282</v>
      </c>
      <c r="B106" s="61">
        <f t="shared" si="2"/>
        <v>17530</v>
      </c>
      <c r="C106" s="29">
        <f>350+1738+650+3182+3360+1300+700+350+650+650+700+650</f>
        <v>14280</v>
      </c>
      <c r="D106" s="24"/>
      <c r="E106" s="24">
        <f>650</f>
        <v>650</v>
      </c>
      <c r="F106" s="24">
        <v>650</v>
      </c>
      <c r="G106" s="24">
        <v>650</v>
      </c>
      <c r="H106" s="24">
        <f>650</f>
        <v>650</v>
      </c>
      <c r="I106" s="24">
        <v>650</v>
      </c>
    </row>
    <row r="107" spans="1:9" ht="18.75" x14ac:dyDescent="0.3">
      <c r="A107" s="62" t="s">
        <v>231</v>
      </c>
      <c r="B107" s="61">
        <f t="shared" si="2"/>
        <v>900</v>
      </c>
      <c r="C107" s="28"/>
      <c r="D107" s="8"/>
      <c r="E107" s="8"/>
      <c r="F107" s="8"/>
      <c r="G107" s="8"/>
      <c r="H107" s="8">
        <f>900</f>
        <v>900</v>
      </c>
      <c r="I107" s="8"/>
    </row>
    <row r="108" spans="1:9" s="18" customFormat="1" ht="18.75" x14ac:dyDescent="0.3">
      <c r="A108" s="63" t="s">
        <v>313</v>
      </c>
      <c r="B108" s="61">
        <f t="shared" si="2"/>
        <v>2949</v>
      </c>
      <c r="C108" s="30">
        <f>1499+1450</f>
        <v>2949</v>
      </c>
      <c r="D108" s="24"/>
      <c r="E108" s="24"/>
      <c r="F108" s="24"/>
      <c r="G108" s="24"/>
      <c r="H108" s="24"/>
      <c r="I108" s="24"/>
    </row>
    <row r="109" spans="1:9" s="18" customFormat="1" ht="18.75" x14ac:dyDescent="0.3">
      <c r="A109" s="63" t="s">
        <v>33</v>
      </c>
      <c r="B109" s="61">
        <f t="shared" si="2"/>
        <v>1659</v>
      </c>
      <c r="C109" s="29">
        <f>35+66+37+20+344+45+22+69</f>
        <v>638</v>
      </c>
      <c r="D109" s="24"/>
      <c r="E109" s="24">
        <f>70</f>
        <v>70</v>
      </c>
      <c r="F109" s="24">
        <f>200+60+26+47+75+53</f>
        <v>461</v>
      </c>
      <c r="G109" s="24">
        <f>45</f>
        <v>45</v>
      </c>
      <c r="H109" s="24">
        <f>32+300</f>
        <v>332</v>
      </c>
      <c r="I109" s="24">
        <f>51+62</f>
        <v>113</v>
      </c>
    </row>
    <row r="110" spans="1:9" s="18" customFormat="1" ht="18.75" x14ac:dyDescent="0.3">
      <c r="A110" s="63" t="s">
        <v>3</v>
      </c>
      <c r="B110" s="61">
        <f t="shared" si="2"/>
        <v>206406</v>
      </c>
      <c r="C110" s="29">
        <f>32120+16060+16060+16060</f>
        <v>80300</v>
      </c>
      <c r="D110" s="24">
        <f>1686+16060+16060</f>
        <v>33806</v>
      </c>
      <c r="E110" s="24"/>
      <c r="F110" s="24">
        <v>16060</v>
      </c>
      <c r="G110" s="24">
        <v>19060</v>
      </c>
      <c r="H110" s="24">
        <v>19060</v>
      </c>
      <c r="I110" s="24">
        <f>19060+19060</f>
        <v>38120</v>
      </c>
    </row>
    <row r="111" spans="1:9" s="18" customFormat="1" ht="18.75" x14ac:dyDescent="0.3">
      <c r="A111" s="64" t="s">
        <v>25</v>
      </c>
      <c r="B111" s="61">
        <f t="shared" si="2"/>
        <v>6122.2</v>
      </c>
      <c r="C111" s="29">
        <f>433.77+867.54+500+500</f>
        <v>2301.31</v>
      </c>
      <c r="D111" s="24">
        <v>355</v>
      </c>
      <c r="E111" s="24">
        <v>50</v>
      </c>
      <c r="F111" s="24">
        <f>50+799+717.64+500</f>
        <v>2066.64</v>
      </c>
      <c r="G111" s="24"/>
      <c r="H111" s="24">
        <f>700+149.25</f>
        <v>849.25</v>
      </c>
      <c r="I111" s="24">
        <v>500</v>
      </c>
    </row>
    <row r="112" spans="1:9" ht="18.75" x14ac:dyDescent="0.3">
      <c r="A112" s="65" t="s">
        <v>310</v>
      </c>
      <c r="B112" s="61">
        <f t="shared" si="2"/>
        <v>2100</v>
      </c>
      <c r="C112" s="28"/>
      <c r="D112" s="8"/>
      <c r="E112" s="8">
        <v>700</v>
      </c>
      <c r="F112" s="8">
        <v>350</v>
      </c>
      <c r="G112" s="8"/>
      <c r="H112" s="8">
        <f>350+350</f>
        <v>700</v>
      </c>
      <c r="I112" s="8">
        <v>350</v>
      </c>
    </row>
    <row r="113" spans="1:9" s="18" customFormat="1" ht="18.75" x14ac:dyDescent="0.3">
      <c r="A113" s="64" t="s">
        <v>146</v>
      </c>
      <c r="B113" s="61">
        <f t="shared" si="2"/>
        <v>15200.64</v>
      </c>
      <c r="C113" s="29">
        <v>15200.64</v>
      </c>
      <c r="D113" s="24"/>
      <c r="E113" s="24"/>
      <c r="F113" s="24"/>
      <c r="G113" s="24"/>
      <c r="H113" s="24"/>
      <c r="I113" s="24"/>
    </row>
    <row r="114" spans="1:9" s="18" customFormat="1" ht="18.75" x14ac:dyDescent="0.3">
      <c r="A114" s="64" t="s">
        <v>115</v>
      </c>
      <c r="B114" s="61">
        <f t="shared" si="2"/>
        <v>3451.44</v>
      </c>
      <c r="C114" s="29">
        <f>2935.8+515.64</f>
        <v>3451.44</v>
      </c>
      <c r="D114" s="24"/>
      <c r="E114" s="24"/>
      <c r="F114" s="24"/>
      <c r="G114" s="24"/>
      <c r="H114" s="24"/>
      <c r="I114" s="24"/>
    </row>
    <row r="115" spans="1:9" s="18" customFormat="1" ht="18.75" x14ac:dyDescent="0.3">
      <c r="A115" s="64" t="s">
        <v>132</v>
      </c>
      <c r="B115" s="61">
        <f t="shared" si="2"/>
        <v>25681.550000000003</v>
      </c>
      <c r="C115" s="29">
        <f>5334.8+1034.96+993.97+1475.53+499.8+98.94+2650.67+405+11396.47</f>
        <v>23890.14</v>
      </c>
      <c r="D115" s="24"/>
      <c r="E115" s="24"/>
      <c r="F115" s="24">
        <v>455.04</v>
      </c>
      <c r="G115" s="24"/>
      <c r="H115" s="24">
        <f>339.79</f>
        <v>339.79</v>
      </c>
      <c r="I115" s="24">
        <f>47+949.58</f>
        <v>996.58</v>
      </c>
    </row>
    <row r="116" spans="1:9" ht="18.75" x14ac:dyDescent="0.3">
      <c r="A116" s="65" t="s">
        <v>283</v>
      </c>
      <c r="B116" s="61">
        <f t="shared" si="2"/>
        <v>1820.2</v>
      </c>
      <c r="C116" s="28"/>
      <c r="D116" s="8"/>
      <c r="E116" s="8">
        <v>1820.2</v>
      </c>
      <c r="F116" s="8"/>
      <c r="G116" s="8"/>
      <c r="H116" s="8"/>
      <c r="I116" s="8"/>
    </row>
    <row r="117" spans="1:9" s="18" customFormat="1" ht="18.75" x14ac:dyDescent="0.3">
      <c r="A117" s="64" t="s">
        <v>139</v>
      </c>
      <c r="B117" s="61">
        <f t="shared" si="2"/>
        <v>2820</v>
      </c>
      <c r="C117" s="29">
        <v>2820</v>
      </c>
      <c r="D117" s="24"/>
      <c r="E117" s="24"/>
      <c r="F117" s="24"/>
      <c r="G117" s="24"/>
      <c r="H117" s="24"/>
      <c r="I117" s="24"/>
    </row>
    <row r="118" spans="1:9" s="18" customFormat="1" ht="18.75" x14ac:dyDescent="0.3">
      <c r="A118" s="64" t="s">
        <v>308</v>
      </c>
      <c r="B118" s="61">
        <f t="shared" si="2"/>
        <v>19300</v>
      </c>
      <c r="C118" s="29">
        <f>4000+4000+7300+4000</f>
        <v>19300</v>
      </c>
      <c r="D118" s="24"/>
      <c r="E118" s="24"/>
      <c r="F118" s="24"/>
      <c r="G118" s="24"/>
      <c r="H118" s="24"/>
      <c r="I118" s="24"/>
    </row>
    <row r="119" spans="1:9" s="18" customFormat="1" ht="18.75" x14ac:dyDescent="0.3">
      <c r="A119" s="64" t="s">
        <v>284</v>
      </c>
      <c r="B119" s="61">
        <f t="shared" si="2"/>
        <v>48146</v>
      </c>
      <c r="C119" s="29">
        <f>3300+3300+1500+4346+1500+1500+6480+1500+1500</f>
        <v>24926</v>
      </c>
      <c r="D119" s="24"/>
      <c r="E119" s="24">
        <v>2000</v>
      </c>
      <c r="F119" s="24">
        <v>2000</v>
      </c>
      <c r="G119" s="24"/>
      <c r="H119" s="24">
        <f>1800+3520+2000</f>
        <v>7320</v>
      </c>
      <c r="I119" s="24">
        <f>9900+2000</f>
        <v>11900</v>
      </c>
    </row>
    <row r="120" spans="1:9" s="18" customFormat="1" ht="18.75" x14ac:dyDescent="0.3">
      <c r="A120" s="64" t="s">
        <v>285</v>
      </c>
      <c r="B120" s="61">
        <f t="shared" si="2"/>
        <v>58924.429999999993</v>
      </c>
      <c r="C120" s="29">
        <f>93.84+178.02+242.89+791.94+321.84+61.98+3602.77+1276.92+61.98+5844.4+1300+77.89+129.53+773.8+3533+378.98+2862+427+594+241.61</f>
        <v>22794.389999999996</v>
      </c>
      <c r="D120" s="24"/>
      <c r="E120" s="24"/>
      <c r="F120" s="24">
        <f>767.04+3033.1+2702.8+677.04+1748.51+219.96</f>
        <v>9148.4499999999989</v>
      </c>
      <c r="G120" s="24">
        <f>436.94+652.75</f>
        <v>1089.69</v>
      </c>
      <c r="H120" s="24">
        <f>1902.82</f>
        <v>1902.82</v>
      </c>
      <c r="I120" s="24">
        <f>20415.6+3573.48</f>
        <v>23989.079999999998</v>
      </c>
    </row>
    <row r="121" spans="1:9" ht="18.75" x14ac:dyDescent="0.3">
      <c r="A121" s="65" t="s">
        <v>195</v>
      </c>
      <c r="B121" s="61">
        <f t="shared" si="2"/>
        <v>205.8</v>
      </c>
      <c r="C121" s="28"/>
      <c r="D121" s="8"/>
      <c r="E121" s="8">
        <f>205.8</f>
        <v>205.8</v>
      </c>
      <c r="F121" s="8"/>
      <c r="G121" s="8"/>
      <c r="H121" s="8"/>
      <c r="I121" s="8"/>
    </row>
    <row r="122" spans="1:9" s="18" customFormat="1" ht="18.75" x14ac:dyDescent="0.3">
      <c r="A122" s="64" t="s">
        <v>81</v>
      </c>
      <c r="B122" s="61">
        <f t="shared" si="2"/>
        <v>1800</v>
      </c>
      <c r="C122" s="29">
        <f>1800</f>
        <v>1800</v>
      </c>
      <c r="D122" s="24"/>
      <c r="E122" s="24"/>
      <c r="F122" s="24"/>
      <c r="G122" s="24"/>
      <c r="H122" s="24"/>
      <c r="I122" s="24"/>
    </row>
    <row r="123" spans="1:9" ht="18.75" x14ac:dyDescent="0.3">
      <c r="A123" s="65" t="s">
        <v>309</v>
      </c>
      <c r="B123" s="61">
        <f t="shared" si="2"/>
        <v>149.4</v>
      </c>
      <c r="C123" s="28"/>
      <c r="D123" s="8"/>
      <c r="E123" s="8"/>
      <c r="F123" s="8"/>
      <c r="G123" s="8">
        <v>149.4</v>
      </c>
      <c r="H123" s="8"/>
      <c r="I123" s="8"/>
    </row>
    <row r="124" spans="1:9" ht="18.75" x14ac:dyDescent="0.3">
      <c r="A124" s="65" t="s">
        <v>220</v>
      </c>
      <c r="B124" s="61">
        <f t="shared" si="2"/>
        <v>1451</v>
      </c>
      <c r="C124" s="28"/>
      <c r="D124" s="8"/>
      <c r="E124" s="8"/>
      <c r="F124" s="8"/>
      <c r="G124" s="8">
        <v>1451</v>
      </c>
      <c r="H124" s="8"/>
      <c r="I124" s="8"/>
    </row>
    <row r="125" spans="1:9" ht="18.75" x14ac:dyDescent="0.3">
      <c r="A125" s="65" t="s">
        <v>286</v>
      </c>
      <c r="B125" s="61">
        <f t="shared" si="2"/>
        <v>350</v>
      </c>
      <c r="C125" s="28"/>
      <c r="D125" s="8"/>
      <c r="E125" s="8"/>
      <c r="F125" s="8"/>
      <c r="G125" s="8"/>
      <c r="H125" s="8"/>
      <c r="I125" s="8">
        <v>350</v>
      </c>
    </row>
    <row r="126" spans="1:9" s="18" customFormat="1" ht="18.75" x14ac:dyDescent="0.3">
      <c r="A126" s="64" t="s">
        <v>102</v>
      </c>
      <c r="B126" s="61">
        <f t="shared" si="2"/>
        <v>4945.5</v>
      </c>
      <c r="C126" s="29"/>
      <c r="D126" s="24"/>
      <c r="E126" s="24"/>
      <c r="F126" s="24"/>
      <c r="G126" s="24"/>
      <c r="H126" s="24">
        <f>4945.5</f>
        <v>4945.5</v>
      </c>
      <c r="I126" s="24"/>
    </row>
    <row r="127" spans="1:9" ht="18.75" x14ac:dyDescent="0.3">
      <c r="A127" s="65" t="s">
        <v>287</v>
      </c>
      <c r="B127" s="61">
        <f>SUM(C127:I127)+2507</f>
        <v>9107</v>
      </c>
      <c r="C127" s="28"/>
      <c r="D127" s="8"/>
      <c r="E127" s="8"/>
      <c r="F127" s="8"/>
      <c r="G127" s="8">
        <v>6600</v>
      </c>
      <c r="H127" s="8"/>
      <c r="I127" s="8"/>
    </row>
    <row r="128" spans="1:9" ht="18.75" x14ac:dyDescent="0.3">
      <c r="A128" s="65" t="s">
        <v>212</v>
      </c>
      <c r="B128" s="61">
        <f t="shared" si="2"/>
        <v>2285</v>
      </c>
      <c r="C128" s="28"/>
      <c r="D128" s="8"/>
      <c r="E128" s="8"/>
      <c r="F128" s="8">
        <v>2285</v>
      </c>
      <c r="G128" s="8"/>
      <c r="H128" s="8"/>
      <c r="I128" s="8"/>
    </row>
    <row r="129" spans="1:9" ht="18.75" x14ac:dyDescent="0.3">
      <c r="A129" s="65" t="s">
        <v>307</v>
      </c>
      <c r="B129" s="61">
        <f t="shared" si="2"/>
        <v>55000</v>
      </c>
      <c r="C129" s="28"/>
      <c r="D129" s="8"/>
      <c r="E129" s="8"/>
      <c r="F129" s="8"/>
      <c r="G129" s="8"/>
      <c r="H129" s="8">
        <v>35000</v>
      </c>
      <c r="I129" s="8">
        <v>20000</v>
      </c>
    </row>
    <row r="130" spans="1:9" ht="18.75" x14ac:dyDescent="0.3">
      <c r="A130" s="65" t="s">
        <v>288</v>
      </c>
      <c r="B130" s="61">
        <f t="shared" si="2"/>
        <v>7180.2</v>
      </c>
      <c r="C130" s="28"/>
      <c r="D130" s="8">
        <v>7180.2</v>
      </c>
      <c r="E130" s="8"/>
      <c r="F130" s="8"/>
      <c r="G130" s="8"/>
      <c r="H130" s="8"/>
      <c r="I130" s="8"/>
    </row>
    <row r="131" spans="1:9" s="18" customFormat="1" ht="18.75" x14ac:dyDescent="0.3">
      <c r="A131" s="64" t="s">
        <v>123</v>
      </c>
      <c r="B131" s="61">
        <f t="shared" si="2"/>
        <v>2492.58</v>
      </c>
      <c r="C131" s="29"/>
      <c r="D131" s="24"/>
      <c r="E131" s="24">
        <v>2492.58</v>
      </c>
      <c r="F131" s="24"/>
      <c r="G131" s="24"/>
      <c r="H131" s="24"/>
      <c r="I131" s="24"/>
    </row>
    <row r="132" spans="1:9" s="18" customFormat="1" ht="18.75" x14ac:dyDescent="0.3">
      <c r="A132" s="64" t="s">
        <v>289</v>
      </c>
      <c r="B132" s="61">
        <f t="shared" si="2"/>
        <v>2913.06</v>
      </c>
      <c r="C132" s="29">
        <v>2913.06</v>
      </c>
      <c r="D132" s="24"/>
      <c r="E132" s="24"/>
      <c r="F132" s="24"/>
      <c r="G132" s="24"/>
      <c r="H132" s="24"/>
      <c r="I132" s="24"/>
    </row>
    <row r="133" spans="1:9" ht="18.75" x14ac:dyDescent="0.3">
      <c r="A133" s="65" t="s">
        <v>290</v>
      </c>
      <c r="B133" s="61">
        <f t="shared" si="2"/>
        <v>2300.4</v>
      </c>
      <c r="C133" s="28"/>
      <c r="D133" s="8"/>
      <c r="E133" s="8"/>
      <c r="F133" s="8">
        <v>2300.4</v>
      </c>
      <c r="G133" s="8"/>
      <c r="H133" s="8"/>
      <c r="I133" s="8"/>
    </row>
    <row r="134" spans="1:9" ht="18.75" x14ac:dyDescent="0.3">
      <c r="A134" s="65" t="s">
        <v>232</v>
      </c>
      <c r="B134" s="61">
        <f t="shared" si="2"/>
        <v>1199.8800000000001</v>
      </c>
      <c r="C134" s="28"/>
      <c r="D134" s="8"/>
      <c r="E134" s="8"/>
      <c r="F134" s="8"/>
      <c r="G134" s="8"/>
      <c r="H134" s="8"/>
      <c r="I134" s="8">
        <v>1199.8800000000001</v>
      </c>
    </row>
    <row r="135" spans="1:9" ht="18.75" x14ac:dyDescent="0.3">
      <c r="A135" s="65" t="s">
        <v>230</v>
      </c>
      <c r="B135" s="61">
        <f t="shared" si="2"/>
        <v>973.2</v>
      </c>
      <c r="C135" s="28"/>
      <c r="D135" s="8"/>
      <c r="E135" s="8"/>
      <c r="F135" s="8"/>
      <c r="G135" s="8"/>
      <c r="H135" s="8">
        <v>973.2</v>
      </c>
      <c r="I135" s="8"/>
    </row>
    <row r="136" spans="1:9" ht="18.75" x14ac:dyDescent="0.3">
      <c r="A136" s="65" t="s">
        <v>291</v>
      </c>
      <c r="B136" s="61">
        <f t="shared" si="2"/>
        <v>1089</v>
      </c>
      <c r="C136" s="28"/>
      <c r="D136" s="8">
        <v>1089</v>
      </c>
      <c r="E136" s="8"/>
      <c r="F136" s="8"/>
      <c r="G136" s="8"/>
      <c r="H136" s="8"/>
      <c r="I136" s="8"/>
    </row>
    <row r="137" spans="1:9" ht="18.75" x14ac:dyDescent="0.3">
      <c r="A137" s="65" t="s">
        <v>235</v>
      </c>
      <c r="B137" s="61">
        <f t="shared" si="2"/>
        <v>420</v>
      </c>
      <c r="C137" s="28"/>
      <c r="D137" s="8"/>
      <c r="E137" s="8"/>
      <c r="F137" s="8"/>
      <c r="G137" s="8"/>
      <c r="H137" s="8"/>
      <c r="I137" s="8">
        <v>420</v>
      </c>
    </row>
    <row r="138" spans="1:9" ht="18.75" x14ac:dyDescent="0.3">
      <c r="A138" s="65" t="s">
        <v>189</v>
      </c>
      <c r="B138" s="61">
        <f t="shared" si="2"/>
        <v>252</v>
      </c>
      <c r="C138" s="28"/>
      <c r="D138" s="8">
        <v>252</v>
      </c>
      <c r="E138" s="8"/>
      <c r="F138" s="8"/>
      <c r="G138" s="8"/>
      <c r="H138" s="8"/>
      <c r="I138" s="8"/>
    </row>
    <row r="139" spans="1:9" ht="18.75" x14ac:dyDescent="0.3">
      <c r="A139" s="65" t="s">
        <v>294</v>
      </c>
      <c r="B139" s="61">
        <f t="shared" ref="B139:B154" si="3">SUM(C139:I139)</f>
        <v>13650</v>
      </c>
      <c r="C139" s="28"/>
      <c r="D139" s="8">
        <v>13650</v>
      </c>
      <c r="E139" s="8"/>
      <c r="F139" s="8"/>
      <c r="G139" s="8"/>
      <c r="H139" s="8"/>
      <c r="I139" s="8"/>
    </row>
    <row r="140" spans="1:9" ht="18.75" x14ac:dyDescent="0.3">
      <c r="A140" s="65" t="s">
        <v>295</v>
      </c>
      <c r="B140" s="61">
        <f t="shared" si="3"/>
        <v>11800</v>
      </c>
      <c r="C140" s="28"/>
      <c r="D140" s="8">
        <v>11800</v>
      </c>
      <c r="E140" s="8"/>
      <c r="F140" s="8"/>
      <c r="G140" s="8"/>
      <c r="H140" s="8"/>
      <c r="I140" s="8"/>
    </row>
    <row r="141" spans="1:9" ht="18.75" x14ac:dyDescent="0.3">
      <c r="A141" s="65" t="s">
        <v>292</v>
      </c>
      <c r="B141" s="61">
        <f t="shared" si="3"/>
        <v>1107</v>
      </c>
      <c r="C141" s="28"/>
      <c r="D141" s="8"/>
      <c r="E141" s="8">
        <v>1107</v>
      </c>
      <c r="F141" s="8"/>
      <c r="G141" s="8"/>
      <c r="H141" s="8"/>
      <c r="I141" s="8"/>
    </row>
    <row r="142" spans="1:9" s="18" customFormat="1" ht="18.75" x14ac:dyDescent="0.3">
      <c r="A142" s="64" t="s">
        <v>293</v>
      </c>
      <c r="B142" s="61">
        <f t="shared" si="3"/>
        <v>9412.16</v>
      </c>
      <c r="C142" s="29">
        <f>298.08+1121.52+6841.5+217.1+933.96</f>
        <v>9412.16</v>
      </c>
      <c r="D142" s="24"/>
      <c r="E142" s="24"/>
      <c r="F142" s="24"/>
      <c r="G142" s="24"/>
      <c r="H142" s="24"/>
      <c r="I142" s="24"/>
    </row>
    <row r="143" spans="1:9" s="18" customFormat="1" ht="18.75" x14ac:dyDescent="0.3">
      <c r="A143" s="64" t="s">
        <v>296</v>
      </c>
      <c r="B143" s="61">
        <f t="shared" si="3"/>
        <v>336</v>
      </c>
      <c r="C143" s="29">
        <v>336</v>
      </c>
      <c r="D143" s="24"/>
      <c r="E143" s="24"/>
      <c r="F143" s="24"/>
      <c r="G143" s="24"/>
      <c r="H143" s="24"/>
      <c r="I143" s="24"/>
    </row>
    <row r="144" spans="1:9" ht="18.75" x14ac:dyDescent="0.3">
      <c r="A144" s="65" t="s">
        <v>222</v>
      </c>
      <c r="B144" s="61">
        <f t="shared" si="3"/>
        <v>2167.0500000000002</v>
      </c>
      <c r="C144" s="28"/>
      <c r="D144" s="8"/>
      <c r="E144" s="8"/>
      <c r="F144" s="8"/>
      <c r="G144" s="8">
        <v>2167.0500000000002</v>
      </c>
      <c r="H144" s="8"/>
      <c r="I144" s="8"/>
    </row>
    <row r="145" spans="1:9" ht="18.75" x14ac:dyDescent="0.3">
      <c r="A145" s="65" t="s">
        <v>166</v>
      </c>
      <c r="B145" s="61">
        <f t="shared" si="3"/>
        <v>15915.98</v>
      </c>
      <c r="C145" s="28"/>
      <c r="D145" s="8">
        <f>10211.54+2455.14</f>
        <v>12666.68</v>
      </c>
      <c r="E145" s="8">
        <v>3249.3</v>
      </c>
      <c r="F145" s="8"/>
      <c r="G145" s="8"/>
      <c r="H145" s="8"/>
      <c r="I145" s="8"/>
    </row>
    <row r="146" spans="1:9" ht="18.75" x14ac:dyDescent="0.3">
      <c r="A146" s="65" t="s">
        <v>207</v>
      </c>
      <c r="B146" s="61">
        <f t="shared" si="3"/>
        <v>591.55999999999995</v>
      </c>
      <c r="C146" s="28"/>
      <c r="D146" s="8"/>
      <c r="E146" s="8"/>
      <c r="F146" s="8">
        <v>591.55999999999995</v>
      </c>
      <c r="G146" s="8"/>
      <c r="H146" s="8"/>
      <c r="I146" s="8"/>
    </row>
    <row r="147" spans="1:9" s="18" customFormat="1" ht="18.75" x14ac:dyDescent="0.3">
      <c r="A147" s="64" t="s">
        <v>114</v>
      </c>
      <c r="B147" s="61">
        <f t="shared" si="3"/>
        <v>2155</v>
      </c>
      <c r="C147" s="29"/>
      <c r="D147" s="24"/>
      <c r="E147" s="24"/>
      <c r="F147" s="24">
        <f>450</f>
        <v>450</v>
      </c>
      <c r="G147" s="24">
        <v>360</v>
      </c>
      <c r="H147" s="24">
        <f>240+1105</f>
        <v>1345</v>
      </c>
      <c r="I147" s="24"/>
    </row>
    <row r="148" spans="1:9" ht="18.75" x14ac:dyDescent="0.3">
      <c r="A148" s="65" t="s">
        <v>192</v>
      </c>
      <c r="B148" s="61">
        <f t="shared" si="3"/>
        <v>490.2</v>
      </c>
      <c r="C148" s="28"/>
      <c r="D148" s="8"/>
      <c r="E148" s="8">
        <v>490.2</v>
      </c>
      <c r="F148" s="8"/>
      <c r="G148" s="8"/>
      <c r="H148" s="8"/>
      <c r="I148" s="8"/>
    </row>
    <row r="149" spans="1:9" ht="18.75" x14ac:dyDescent="0.3">
      <c r="A149" s="65" t="s">
        <v>297</v>
      </c>
      <c r="B149" s="61">
        <f t="shared" si="3"/>
        <v>14521.2</v>
      </c>
      <c r="C149" s="28"/>
      <c r="D149" s="8"/>
      <c r="E149" s="8">
        <v>1770</v>
      </c>
      <c r="F149" s="8"/>
      <c r="G149" s="8">
        <v>6811.2</v>
      </c>
      <c r="H149" s="8">
        <v>5940</v>
      </c>
      <c r="I149" s="8"/>
    </row>
    <row r="150" spans="1:9" s="18" customFormat="1" ht="18.75" x14ac:dyDescent="0.3">
      <c r="A150" s="64" t="s">
        <v>396</v>
      </c>
      <c r="B150" s="61">
        <f t="shared" si="3"/>
        <v>34608.930000000008</v>
      </c>
      <c r="C150" s="29">
        <f>165.2+698.51+487.45+271.5+249+105+100.44+374.01+99.29+403.48+162.52+4141+11138.52+248.4+1975.91+100+1156.15+919.82+323.23+179.81</f>
        <v>23299.24</v>
      </c>
      <c r="D150" s="24">
        <f>1911.72+970+1314.3</f>
        <v>4196.0200000000004</v>
      </c>
      <c r="E150" s="24">
        <f>289.68+39+406+121.62-5.01</f>
        <v>851.29000000000008</v>
      </c>
      <c r="F150" s="24">
        <f>601.68</f>
        <v>601.67999999999995</v>
      </c>
      <c r="G150" s="24">
        <f>622.5+345.28+795.08</f>
        <v>1762.8600000000001</v>
      </c>
      <c r="H150" s="24">
        <f>72+2173.8+366</f>
        <v>2611.8000000000002</v>
      </c>
      <c r="I150" s="24">
        <f>298.64+311+305.4+371</f>
        <v>1286.04</v>
      </c>
    </row>
    <row r="151" spans="1:9" ht="18.75" x14ac:dyDescent="0.3">
      <c r="A151" s="65" t="s">
        <v>298</v>
      </c>
      <c r="B151" s="61">
        <f t="shared" si="3"/>
        <v>19200</v>
      </c>
      <c r="C151" s="28"/>
      <c r="D151" s="8">
        <v>19200</v>
      </c>
      <c r="E151" s="8"/>
      <c r="F151" s="8"/>
      <c r="G151" s="8"/>
      <c r="H151" s="8"/>
      <c r="I151" s="8"/>
    </row>
    <row r="152" spans="1:9" s="18" customFormat="1" ht="18.75" x14ac:dyDescent="0.3">
      <c r="A152" s="64" t="s">
        <v>299</v>
      </c>
      <c r="B152" s="61">
        <f t="shared" si="3"/>
        <v>1496.81</v>
      </c>
      <c r="C152" s="29">
        <v>1496.81</v>
      </c>
      <c r="D152" s="24"/>
      <c r="E152" s="24"/>
      <c r="F152" s="24"/>
      <c r="G152" s="24"/>
      <c r="H152" s="24"/>
      <c r="I152" s="24"/>
    </row>
    <row r="153" spans="1:9" ht="18.75" x14ac:dyDescent="0.3">
      <c r="A153" s="65" t="s">
        <v>202</v>
      </c>
      <c r="B153" s="61">
        <f t="shared" si="3"/>
        <v>3680</v>
      </c>
      <c r="C153" s="28"/>
      <c r="D153" s="8"/>
      <c r="E153" s="8">
        <v>3680</v>
      </c>
      <c r="F153" s="8"/>
      <c r="G153" s="8"/>
      <c r="H153" s="8"/>
      <c r="I153" s="8"/>
    </row>
    <row r="154" spans="1:9" s="18" customFormat="1" ht="19.5" thickBot="1" x14ac:dyDescent="0.35">
      <c r="A154" s="64" t="s">
        <v>42</v>
      </c>
      <c r="B154" s="61">
        <f t="shared" si="3"/>
        <v>714.76</v>
      </c>
      <c r="C154" s="29"/>
      <c r="D154" s="24"/>
      <c r="E154" s="24"/>
      <c r="F154" s="24"/>
      <c r="G154" s="24">
        <v>714.76</v>
      </c>
      <c r="H154" s="24"/>
      <c r="I154" s="24"/>
    </row>
    <row r="155" spans="1:9" ht="19.5" hidden="1" thickBot="1" x14ac:dyDescent="0.35">
      <c r="A155" s="66"/>
      <c r="B155" s="51"/>
      <c r="C155" s="31"/>
      <c r="D155" s="11"/>
      <c r="E155" s="11"/>
      <c r="F155" s="11"/>
      <c r="G155" s="11"/>
      <c r="H155" s="11"/>
      <c r="I155" s="11"/>
    </row>
    <row r="156" spans="1:9" ht="19.5" hidden="1" thickBot="1" x14ac:dyDescent="0.35">
      <c r="A156" s="66"/>
      <c r="B156" s="51"/>
      <c r="C156" s="31"/>
      <c r="D156" s="11"/>
      <c r="E156" s="11"/>
      <c r="F156" s="11"/>
      <c r="G156" s="11"/>
      <c r="H156" s="11"/>
      <c r="I156" s="11"/>
    </row>
    <row r="157" spans="1:9" ht="19.5" hidden="1" thickBot="1" x14ac:dyDescent="0.35">
      <c r="A157" s="66"/>
      <c r="B157" s="51"/>
      <c r="C157" s="31"/>
      <c r="D157" s="11"/>
      <c r="E157" s="11"/>
      <c r="F157" s="11"/>
      <c r="G157" s="11"/>
      <c r="H157" s="11"/>
      <c r="I157" s="11"/>
    </row>
    <row r="158" spans="1:9" ht="19.5" hidden="1" thickBot="1" x14ac:dyDescent="0.35">
      <c r="A158" s="66"/>
      <c r="B158" s="51"/>
      <c r="C158" s="31"/>
      <c r="D158" s="11"/>
      <c r="E158" s="11"/>
      <c r="F158" s="11"/>
      <c r="G158" s="11"/>
      <c r="H158" s="11"/>
      <c r="I158" s="11"/>
    </row>
    <row r="159" spans="1:9" ht="19.5" hidden="1" thickBot="1" x14ac:dyDescent="0.35">
      <c r="A159" s="66"/>
      <c r="B159" s="51"/>
      <c r="C159" s="31"/>
      <c r="D159" s="11"/>
      <c r="E159" s="11"/>
      <c r="F159" s="11"/>
      <c r="G159" s="11"/>
      <c r="H159" s="11"/>
      <c r="I159" s="11"/>
    </row>
    <row r="160" spans="1:9" ht="19.5" hidden="1" thickBot="1" x14ac:dyDescent="0.35">
      <c r="A160" s="66"/>
      <c r="B160" s="51">
        <f t="shared" ref="B160" si="4">SUM(D160:G160)</f>
        <v>0</v>
      </c>
      <c r="C160" s="31"/>
      <c r="D160" s="11"/>
      <c r="E160" s="11"/>
      <c r="F160" s="11"/>
      <c r="G160" s="11"/>
      <c r="H160" s="11"/>
      <c r="I160" s="11"/>
    </row>
    <row r="161" spans="1:9" ht="19.5" thickBot="1" x14ac:dyDescent="0.35">
      <c r="A161" s="68" t="s">
        <v>148</v>
      </c>
      <c r="B161" s="67">
        <f>SUM(B4:B160)</f>
        <v>1944200.2399999988</v>
      </c>
      <c r="C161" s="32">
        <f t="shared" ref="C161:I161" si="5">SUM(C4:C160)</f>
        <v>786081.28000000014</v>
      </c>
      <c r="D161" s="10">
        <f t="shared" si="5"/>
        <v>408873.67000000004</v>
      </c>
      <c r="E161" s="10">
        <f t="shared" si="5"/>
        <v>76945.259999999995</v>
      </c>
      <c r="F161" s="10">
        <f t="shared" si="5"/>
        <v>117529.72</v>
      </c>
      <c r="G161" s="10">
        <f t="shared" si="5"/>
        <v>156543.26999999999</v>
      </c>
      <c r="H161" s="10">
        <f t="shared" si="5"/>
        <v>211634.58000000002</v>
      </c>
      <c r="I161" s="10">
        <f t="shared" si="5"/>
        <v>182475.46000000002</v>
      </c>
    </row>
  </sheetData>
  <mergeCells count="2">
    <mergeCell ref="A2:B2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="192" workbookViewId="0">
      <selection activeCell="C18" sqref="C18"/>
    </sheetView>
  </sheetViews>
  <sheetFormatPr defaultColWidth="8.85546875" defaultRowHeight="15" x14ac:dyDescent="0.25"/>
  <cols>
    <col min="1" max="1" width="16.85546875" customWidth="1"/>
    <col min="2" max="2" width="17" customWidth="1"/>
  </cols>
  <sheetData>
    <row r="1" spans="1:2" ht="15" customHeight="1" x14ac:dyDescent="0.25">
      <c r="A1" s="149" t="s">
        <v>306</v>
      </c>
      <c r="B1" s="149"/>
    </row>
    <row r="2" spans="1:2" ht="15" hidden="1" customHeight="1" x14ac:dyDescent="0.25">
      <c r="A2" s="149"/>
      <c r="B2" s="149"/>
    </row>
    <row r="3" spans="1:2" ht="15" hidden="1" customHeight="1" x14ac:dyDescent="0.25">
      <c r="A3" s="149"/>
      <c r="B3" s="149"/>
    </row>
    <row r="4" spans="1:2" ht="15" hidden="1" customHeight="1" x14ac:dyDescent="0.25">
      <c r="A4" s="149"/>
      <c r="B4" s="149"/>
    </row>
    <row r="5" spans="1:2" ht="15" hidden="1" customHeight="1" x14ac:dyDescent="0.25">
      <c r="A5" s="149"/>
      <c r="B5" s="149"/>
    </row>
    <row r="6" spans="1:2" ht="15" hidden="1" customHeight="1" x14ac:dyDescent="0.25">
      <c r="A6" s="149"/>
      <c r="B6" s="149"/>
    </row>
    <row r="7" spans="1:2" ht="15" hidden="1" customHeight="1" x14ac:dyDescent="0.25">
      <c r="A7" s="149"/>
      <c r="B7" s="149"/>
    </row>
    <row r="8" spans="1:2" ht="15" hidden="1" customHeight="1" x14ac:dyDescent="0.25">
      <c r="A8" s="149"/>
      <c r="B8" s="149"/>
    </row>
    <row r="9" spans="1:2" ht="15" hidden="1" customHeight="1" x14ac:dyDescent="0.25">
      <c r="A9" s="149"/>
      <c r="B9" s="149"/>
    </row>
    <row r="10" spans="1:2" ht="15" hidden="1" customHeight="1" x14ac:dyDescent="0.25">
      <c r="A10" s="149"/>
      <c r="B10" s="149"/>
    </row>
    <row r="11" spans="1:2" ht="15" hidden="1" customHeight="1" x14ac:dyDescent="0.25">
      <c r="A11" s="149"/>
      <c r="B11" s="149"/>
    </row>
    <row r="12" spans="1:2" ht="15" hidden="1" customHeight="1" x14ac:dyDescent="0.25">
      <c r="A12" s="149"/>
      <c r="B12" s="149"/>
    </row>
    <row r="13" spans="1:2" ht="15" hidden="1" customHeight="1" x14ac:dyDescent="0.25">
      <c r="A13" s="149"/>
      <c r="B13" s="149"/>
    </row>
    <row r="14" spans="1:2" ht="15" hidden="1" customHeight="1" x14ac:dyDescent="0.25">
      <c r="A14" s="149"/>
      <c r="B14" s="149"/>
    </row>
    <row r="15" spans="1:2" ht="15.75" thickBot="1" x14ac:dyDescent="0.3">
      <c r="A15" s="149"/>
      <c r="B15" s="149"/>
    </row>
    <row r="16" spans="1:2" ht="15.75" thickBot="1" x14ac:dyDescent="0.3">
      <c r="A16" s="58" t="s">
        <v>301</v>
      </c>
      <c r="B16" s="59" t="s">
        <v>1</v>
      </c>
    </row>
    <row r="17" spans="1:2" x14ac:dyDescent="0.25">
      <c r="A17" s="54" t="s">
        <v>158</v>
      </c>
      <c r="B17" s="55">
        <v>17142.86</v>
      </c>
    </row>
    <row r="18" spans="1:2" x14ac:dyDescent="0.25">
      <c r="A18" s="35" t="s">
        <v>159</v>
      </c>
      <c r="B18" s="34">
        <v>215838.52</v>
      </c>
    </row>
    <row r="19" spans="1:2" x14ac:dyDescent="0.25">
      <c r="A19" s="35" t="s">
        <v>149</v>
      </c>
      <c r="B19" s="34">
        <v>414017.4</v>
      </c>
    </row>
    <row r="20" spans="1:2" x14ac:dyDescent="0.25">
      <c r="A20" s="35" t="s">
        <v>160</v>
      </c>
      <c r="B20" s="34">
        <v>208201.2</v>
      </c>
    </row>
    <row r="21" spans="1:2" x14ac:dyDescent="0.25">
      <c r="A21" s="35" t="s">
        <v>150</v>
      </c>
      <c r="B21" s="34">
        <v>13291.91</v>
      </c>
    </row>
    <row r="22" spans="1:2" x14ac:dyDescent="0.25">
      <c r="A22" s="35" t="s">
        <v>151</v>
      </c>
      <c r="B22" s="34">
        <v>223003.72</v>
      </c>
    </row>
    <row r="23" spans="1:2" x14ac:dyDescent="0.25">
      <c r="A23" s="35" t="s">
        <v>152</v>
      </c>
      <c r="B23" s="56">
        <f>27950.31+172565.2</f>
        <v>200515.51</v>
      </c>
    </row>
    <row r="24" spans="1:2" x14ac:dyDescent="0.25">
      <c r="A24" s="35" t="s">
        <v>153</v>
      </c>
      <c r="B24" s="34">
        <f>17763.97+18136.65</f>
        <v>35900.620000000003</v>
      </c>
    </row>
    <row r="25" spans="1:2" x14ac:dyDescent="0.25">
      <c r="A25" s="35" t="s">
        <v>154</v>
      </c>
      <c r="B25" s="34">
        <f>13170+124407.63</f>
        <v>137577.63</v>
      </c>
    </row>
    <row r="26" spans="1:2" x14ac:dyDescent="0.25">
      <c r="A26" s="35" t="s">
        <v>155</v>
      </c>
      <c r="B26" s="34">
        <v>236481.99</v>
      </c>
    </row>
    <row r="27" spans="1:2" x14ac:dyDescent="0.25">
      <c r="A27" s="35" t="s">
        <v>156</v>
      </c>
      <c r="B27" s="34">
        <v>231668.33</v>
      </c>
    </row>
    <row r="28" spans="1:2" x14ac:dyDescent="0.25">
      <c r="A28" s="35" t="s">
        <v>157</v>
      </c>
      <c r="B28" s="34">
        <v>268788.82</v>
      </c>
    </row>
    <row r="29" spans="1:2" ht="19.5" thickBot="1" x14ac:dyDescent="0.35">
      <c r="A29" s="41" t="s">
        <v>304</v>
      </c>
      <c r="B29" s="57">
        <f>SUM(B17:B28)</f>
        <v>2202428.5100000002</v>
      </c>
    </row>
    <row r="30" spans="1:2" hidden="1" x14ac:dyDescent="0.25">
      <c r="A30" s="53" t="s">
        <v>148</v>
      </c>
      <c r="B30" s="53">
        <f>B14+B29</f>
        <v>2202428.5100000002</v>
      </c>
    </row>
    <row r="31" spans="1:2" x14ac:dyDescent="0.25">
      <c r="A31" s="52"/>
      <c r="B31" s="52"/>
    </row>
  </sheetData>
  <mergeCells count="1">
    <mergeCell ref="A1:B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workbookViewId="0">
      <selection activeCell="F2" sqref="F2"/>
    </sheetView>
  </sheetViews>
  <sheetFormatPr defaultColWidth="8.85546875" defaultRowHeight="15" x14ac:dyDescent="0.25"/>
  <cols>
    <col min="1" max="1" width="42.28515625" customWidth="1"/>
    <col min="2" max="2" width="12" customWidth="1"/>
    <col min="3" max="3" width="10.28515625" customWidth="1"/>
    <col min="5" max="5" width="10.140625" customWidth="1"/>
    <col min="6" max="6" width="10.28515625" customWidth="1"/>
    <col min="7" max="7" width="12.28515625" customWidth="1"/>
  </cols>
  <sheetData>
    <row r="1" spans="1:7" ht="54" customHeight="1" thickBot="1" x14ac:dyDescent="0.4">
      <c r="A1" s="148" t="s">
        <v>161</v>
      </c>
      <c r="B1" s="148"/>
    </row>
    <row r="2" spans="1:7" ht="15.75" thickBot="1" x14ac:dyDescent="0.3">
      <c r="A2" s="3" t="s">
        <v>0</v>
      </c>
      <c r="B2" s="14" t="s">
        <v>1</v>
      </c>
      <c r="C2" s="22">
        <v>7</v>
      </c>
      <c r="D2" s="22">
        <v>8</v>
      </c>
      <c r="E2" s="22">
        <v>9</v>
      </c>
      <c r="F2" s="22">
        <v>10</v>
      </c>
      <c r="G2" s="17" t="s">
        <v>1</v>
      </c>
    </row>
    <row r="3" spans="1:7" x14ac:dyDescent="0.25">
      <c r="A3" s="2" t="s">
        <v>224</v>
      </c>
      <c r="B3" s="19">
        <f t="shared" ref="B3:B66" si="0">SUM(C3:G3)</f>
        <v>945</v>
      </c>
      <c r="C3" s="21"/>
      <c r="D3" s="21"/>
      <c r="E3" s="21"/>
      <c r="F3" s="21">
        <v>945</v>
      </c>
      <c r="G3" s="21"/>
    </row>
    <row r="4" spans="1:7" x14ac:dyDescent="0.25">
      <c r="A4" s="1" t="s">
        <v>164</v>
      </c>
      <c r="B4" s="20">
        <f t="shared" si="0"/>
        <v>66791.710000000006</v>
      </c>
      <c r="C4" s="8">
        <v>66791.710000000006</v>
      </c>
      <c r="D4" s="8"/>
      <c r="E4" s="8"/>
      <c r="F4" s="8"/>
      <c r="G4" s="8"/>
    </row>
    <row r="5" spans="1:7" x14ac:dyDescent="0.25">
      <c r="A5" s="1" t="s">
        <v>74</v>
      </c>
      <c r="B5" s="15">
        <f t="shared" si="0"/>
        <v>4325</v>
      </c>
      <c r="C5" s="8"/>
      <c r="D5" s="8"/>
      <c r="E5" s="8"/>
      <c r="F5" s="8"/>
      <c r="G5" s="8">
        <v>4325</v>
      </c>
    </row>
    <row r="6" spans="1:7" x14ac:dyDescent="0.25">
      <c r="A6" s="1" t="s">
        <v>91</v>
      </c>
      <c r="B6" s="15">
        <f t="shared" si="0"/>
        <v>2583.5</v>
      </c>
      <c r="C6" s="8"/>
      <c r="D6" s="8"/>
      <c r="E6" s="8"/>
      <c r="F6" s="8"/>
      <c r="G6" s="8">
        <v>2583.5</v>
      </c>
    </row>
    <row r="7" spans="1:7" x14ac:dyDescent="0.25">
      <c r="A7" s="1" t="s">
        <v>14</v>
      </c>
      <c r="B7" s="15">
        <f t="shared" si="0"/>
        <v>15233.869999999999</v>
      </c>
      <c r="C7" s="8"/>
      <c r="D7" s="8"/>
      <c r="E7" s="8"/>
      <c r="F7" s="8">
        <v>1500</v>
      </c>
      <c r="G7" s="8">
        <f>1120+73.45+1120+2700+1720.42+2700+2800+1500</f>
        <v>13733.869999999999</v>
      </c>
    </row>
    <row r="8" spans="1:7" x14ac:dyDescent="0.25">
      <c r="A8" s="1" t="s">
        <v>30</v>
      </c>
      <c r="B8" s="15">
        <f t="shared" si="0"/>
        <v>1038</v>
      </c>
      <c r="C8" s="8"/>
      <c r="D8" s="8"/>
      <c r="E8" s="8">
        <v>390</v>
      </c>
      <c r="F8" s="8"/>
      <c r="G8" s="8">
        <f>390+258</f>
        <v>648</v>
      </c>
    </row>
    <row r="9" spans="1:7" x14ac:dyDescent="0.25">
      <c r="A9" s="1" t="s">
        <v>214</v>
      </c>
      <c r="B9" s="20">
        <f t="shared" si="0"/>
        <v>888</v>
      </c>
      <c r="C9" s="8"/>
      <c r="D9" s="8"/>
      <c r="E9" s="8">
        <v>888</v>
      </c>
      <c r="F9" s="8"/>
      <c r="G9" s="8"/>
    </row>
    <row r="10" spans="1:7" x14ac:dyDescent="0.25">
      <c r="A10" s="1" t="s">
        <v>23</v>
      </c>
      <c r="B10" s="15">
        <f t="shared" si="0"/>
        <v>198</v>
      </c>
      <c r="C10" s="8"/>
      <c r="D10" s="8"/>
      <c r="E10" s="8"/>
      <c r="F10" s="8"/>
      <c r="G10" s="8">
        <v>198</v>
      </c>
    </row>
    <row r="11" spans="1:7" x14ac:dyDescent="0.25">
      <c r="A11" s="1" t="s">
        <v>173</v>
      </c>
      <c r="B11" s="20">
        <f t="shared" si="0"/>
        <v>5000</v>
      </c>
      <c r="C11" s="8">
        <v>5000</v>
      </c>
      <c r="D11" s="8"/>
      <c r="E11" s="8"/>
      <c r="F11" s="8"/>
      <c r="G11" s="8"/>
    </row>
    <row r="12" spans="1:7" x14ac:dyDescent="0.25">
      <c r="A12" s="1" t="s">
        <v>61</v>
      </c>
      <c r="B12" s="15">
        <f t="shared" si="0"/>
        <v>69757.069999999992</v>
      </c>
      <c r="C12" s="8"/>
      <c r="D12" s="8"/>
      <c r="E12" s="8"/>
      <c r="F12" s="8"/>
      <c r="G12" s="8">
        <f>48829.95+20927.12</f>
        <v>69757.069999999992</v>
      </c>
    </row>
    <row r="13" spans="1:7" x14ac:dyDescent="0.25">
      <c r="A13" s="1" t="s">
        <v>32</v>
      </c>
      <c r="B13" s="15">
        <f t="shared" si="0"/>
        <v>149236.53</v>
      </c>
      <c r="C13" s="8">
        <f>293.65</f>
        <v>293.64999999999998</v>
      </c>
      <c r="D13" s="8">
        <f>738.89+2033.22</f>
        <v>2772.11</v>
      </c>
      <c r="E13" s="8">
        <f>2204.74+183+1193.76</f>
        <v>3581.5</v>
      </c>
      <c r="F13" s="8"/>
      <c r="G13" s="8">
        <f>2801.18+10368.03+6041.7+5873.22+25710.02+10369.4+3376.62+9616.3+2897.76+5842.99+6688.47+1026.9+2546.87+759.15+4186.62+1645.06+1322.34+2016.34+45+2986.2+215.64+479.91+715.5+1382.76+825.87+1282.85+7879.76+5737.32+2090.48+4876.02+2563.26+3531.32+800+2738.47+668.4+681.54</f>
        <v>142589.26999999999</v>
      </c>
    </row>
    <row r="14" spans="1:7" x14ac:dyDescent="0.25">
      <c r="A14" s="1" t="s">
        <v>193</v>
      </c>
      <c r="B14" s="20">
        <f t="shared" si="0"/>
        <v>800.98</v>
      </c>
      <c r="C14" s="8"/>
      <c r="D14" s="8">
        <v>800.98</v>
      </c>
      <c r="E14" s="8"/>
      <c r="F14" s="8"/>
      <c r="G14" s="8"/>
    </row>
    <row r="15" spans="1:7" x14ac:dyDescent="0.25">
      <c r="A15" s="1" t="s">
        <v>40</v>
      </c>
      <c r="B15" s="15">
        <f t="shared" si="0"/>
        <v>1059</v>
      </c>
      <c r="C15" s="8"/>
      <c r="D15" s="8"/>
      <c r="E15" s="8"/>
      <c r="F15" s="8"/>
      <c r="G15" s="8">
        <v>1059</v>
      </c>
    </row>
    <row r="16" spans="1:7" x14ac:dyDescent="0.25">
      <c r="A16" s="1" t="s">
        <v>136</v>
      </c>
      <c r="B16" s="15">
        <f t="shared" si="0"/>
        <v>52750</v>
      </c>
      <c r="C16" s="8"/>
      <c r="D16" s="8"/>
      <c r="E16" s="8">
        <v>4000</v>
      </c>
      <c r="F16" s="8">
        <v>9000</v>
      </c>
      <c r="G16" s="8">
        <f>31650+8100</f>
        <v>39750</v>
      </c>
    </row>
    <row r="17" spans="1:7" x14ac:dyDescent="0.25">
      <c r="A17" s="1" t="s">
        <v>92</v>
      </c>
      <c r="B17" s="15">
        <f t="shared" si="0"/>
        <v>1353.75</v>
      </c>
      <c r="C17" s="8"/>
      <c r="D17" s="8"/>
      <c r="E17" s="8"/>
      <c r="F17" s="8"/>
      <c r="G17" s="8">
        <v>1353.75</v>
      </c>
    </row>
    <row r="18" spans="1:7" x14ac:dyDescent="0.25">
      <c r="A18" s="1" t="s">
        <v>12</v>
      </c>
      <c r="B18" s="15">
        <f t="shared" si="0"/>
        <v>64084.47</v>
      </c>
      <c r="C18" s="8">
        <v>8000</v>
      </c>
      <c r="D18" s="8">
        <v>2000</v>
      </c>
      <c r="E18" s="8"/>
      <c r="F18" s="8">
        <v>19600</v>
      </c>
      <c r="G18" s="8">
        <f>5000+4000+2484.47+6000+6000+7000+4000</f>
        <v>34484.47</v>
      </c>
    </row>
    <row r="19" spans="1:7" x14ac:dyDescent="0.25">
      <c r="A19" s="1" t="s">
        <v>127</v>
      </c>
      <c r="B19" s="15">
        <f t="shared" si="0"/>
        <v>495</v>
      </c>
      <c r="C19" s="8"/>
      <c r="D19" s="8"/>
      <c r="E19" s="8"/>
      <c r="F19" s="8"/>
      <c r="G19" s="8">
        <v>495</v>
      </c>
    </row>
    <row r="20" spans="1:7" x14ac:dyDescent="0.25">
      <c r="A20" s="1" t="s">
        <v>54</v>
      </c>
      <c r="B20" s="15">
        <f t="shared" si="0"/>
        <v>29568</v>
      </c>
      <c r="C20" s="8"/>
      <c r="D20" s="8"/>
      <c r="E20" s="8"/>
      <c r="F20" s="8"/>
      <c r="G20" s="8">
        <f>20697.6+8870.4</f>
        <v>29568</v>
      </c>
    </row>
    <row r="21" spans="1:7" x14ac:dyDescent="0.25">
      <c r="A21" s="1" t="s">
        <v>93</v>
      </c>
      <c r="B21" s="15">
        <f t="shared" si="0"/>
        <v>731.37</v>
      </c>
      <c r="C21" s="8"/>
      <c r="D21" s="8">
        <v>217.53</v>
      </c>
      <c r="E21" s="8"/>
      <c r="F21" s="8"/>
      <c r="G21" s="8">
        <v>513.84</v>
      </c>
    </row>
    <row r="22" spans="1:7" x14ac:dyDescent="0.25">
      <c r="A22" s="1" t="s">
        <v>187</v>
      </c>
      <c r="B22" s="20">
        <f t="shared" si="0"/>
        <v>4932</v>
      </c>
      <c r="C22" s="8">
        <f>660</f>
        <v>660</v>
      </c>
      <c r="D22" s="8">
        <f>1320+630</f>
        <v>1950</v>
      </c>
      <c r="E22" s="8">
        <f>966</f>
        <v>966</v>
      </c>
      <c r="F22" s="8">
        <f>1011+345</f>
        <v>1356</v>
      </c>
      <c r="G22" s="8"/>
    </row>
    <row r="23" spans="1:7" x14ac:dyDescent="0.25">
      <c r="A23" s="1" t="s">
        <v>184</v>
      </c>
      <c r="B23" s="20">
        <f t="shared" si="0"/>
        <v>37986</v>
      </c>
      <c r="C23" s="8">
        <v>37986</v>
      </c>
      <c r="D23" s="8"/>
      <c r="E23" s="8"/>
      <c r="F23" s="8"/>
      <c r="G23" s="8"/>
    </row>
    <row r="24" spans="1:7" x14ac:dyDescent="0.25">
      <c r="A24" s="1" t="s">
        <v>49</v>
      </c>
      <c r="B24" s="15">
        <f t="shared" si="0"/>
        <v>20368.580000000002</v>
      </c>
      <c r="C24" s="8"/>
      <c r="D24" s="8"/>
      <c r="E24" s="8"/>
      <c r="F24" s="8"/>
      <c r="G24" s="8">
        <f>11329.86+1515.72+7523</f>
        <v>20368.580000000002</v>
      </c>
    </row>
    <row r="25" spans="1:7" x14ac:dyDescent="0.25">
      <c r="A25" s="1" t="s">
        <v>174</v>
      </c>
      <c r="B25" s="20">
        <f t="shared" si="0"/>
        <v>3051.72</v>
      </c>
      <c r="C25" s="8">
        <v>3051.72</v>
      </c>
      <c r="D25" s="8"/>
      <c r="E25" s="8"/>
      <c r="F25" s="8"/>
      <c r="G25" s="8"/>
    </row>
    <row r="26" spans="1:7" x14ac:dyDescent="0.25">
      <c r="A26" s="1" t="s">
        <v>52</v>
      </c>
      <c r="B26" s="15">
        <f t="shared" si="0"/>
        <v>450</v>
      </c>
      <c r="C26" s="8"/>
      <c r="D26" s="8"/>
      <c r="E26" s="8"/>
      <c r="F26" s="8"/>
      <c r="G26" s="8">
        <v>450</v>
      </c>
    </row>
    <row r="27" spans="1:7" x14ac:dyDescent="0.25">
      <c r="A27" s="1" t="s">
        <v>76</v>
      </c>
      <c r="B27" s="15">
        <f t="shared" si="0"/>
        <v>248.76</v>
      </c>
      <c r="C27" s="8"/>
      <c r="D27" s="8"/>
      <c r="E27" s="8"/>
      <c r="F27" s="8"/>
      <c r="G27" s="8">
        <v>248.76</v>
      </c>
    </row>
    <row r="28" spans="1:7" x14ac:dyDescent="0.25">
      <c r="A28" s="1" t="s">
        <v>112</v>
      </c>
      <c r="B28" s="15">
        <f t="shared" si="0"/>
        <v>1323.72</v>
      </c>
      <c r="C28" s="8"/>
      <c r="D28" s="8"/>
      <c r="E28" s="8"/>
      <c r="F28" s="8"/>
      <c r="G28" s="8">
        <v>1323.72</v>
      </c>
    </row>
    <row r="29" spans="1:7" x14ac:dyDescent="0.25">
      <c r="A29" s="1" t="s">
        <v>111</v>
      </c>
      <c r="B29" s="15">
        <f t="shared" si="0"/>
        <v>50.88</v>
      </c>
      <c r="C29" s="8"/>
      <c r="D29" s="8"/>
      <c r="E29" s="8"/>
      <c r="F29" s="8"/>
      <c r="G29" s="8">
        <v>50.88</v>
      </c>
    </row>
    <row r="30" spans="1:7" x14ac:dyDescent="0.25">
      <c r="A30" s="1" t="s">
        <v>53</v>
      </c>
      <c r="B30" s="15">
        <f t="shared" si="0"/>
        <v>19.350000000000001</v>
      </c>
      <c r="C30" s="8"/>
      <c r="D30" s="8"/>
      <c r="E30" s="8"/>
      <c r="F30" s="8"/>
      <c r="G30" s="8">
        <v>19.350000000000001</v>
      </c>
    </row>
    <row r="31" spans="1:7" x14ac:dyDescent="0.25">
      <c r="A31" s="1" t="s">
        <v>130</v>
      </c>
      <c r="B31" s="15">
        <f t="shared" si="0"/>
        <v>1199.1399999999999</v>
      </c>
      <c r="C31" s="8"/>
      <c r="D31" s="8"/>
      <c r="E31" s="8"/>
      <c r="F31" s="8"/>
      <c r="G31" s="8">
        <f>105.9+783.93+309.31</f>
        <v>1199.1399999999999</v>
      </c>
    </row>
    <row r="32" spans="1:7" x14ac:dyDescent="0.25">
      <c r="A32" s="1" t="s">
        <v>188</v>
      </c>
      <c r="B32" s="20">
        <f t="shared" si="0"/>
        <v>3367.81</v>
      </c>
      <c r="C32" s="8">
        <f>679.25</f>
        <v>679.25</v>
      </c>
      <c r="D32" s="8">
        <v>2688.56</v>
      </c>
      <c r="E32" s="8"/>
      <c r="F32" s="8"/>
      <c r="G32" s="8"/>
    </row>
    <row r="33" spans="1:7" x14ac:dyDescent="0.25">
      <c r="A33" s="1" t="s">
        <v>135</v>
      </c>
      <c r="B33" s="15">
        <f t="shared" si="0"/>
        <v>23830.62</v>
      </c>
      <c r="C33" s="8"/>
      <c r="D33" s="8"/>
      <c r="E33" s="8"/>
      <c r="F33" s="8"/>
      <c r="G33" s="8">
        <f>5167+6657+6968+5038.62</f>
        <v>23830.62</v>
      </c>
    </row>
    <row r="34" spans="1:7" x14ac:dyDescent="0.25">
      <c r="A34" s="1" t="s">
        <v>113</v>
      </c>
      <c r="B34" s="15">
        <f t="shared" si="0"/>
        <v>2277.0300000000002</v>
      </c>
      <c r="C34" s="8"/>
      <c r="D34" s="8"/>
      <c r="E34" s="8"/>
      <c r="F34" s="8"/>
      <c r="G34" s="8">
        <v>2277.0300000000002</v>
      </c>
    </row>
    <row r="35" spans="1:7" x14ac:dyDescent="0.25">
      <c r="A35" s="1" t="s">
        <v>226</v>
      </c>
      <c r="B35" s="20">
        <f t="shared" si="0"/>
        <v>800</v>
      </c>
      <c r="C35" s="8"/>
      <c r="D35" s="8"/>
      <c r="E35" s="8"/>
      <c r="F35" s="8">
        <v>800</v>
      </c>
      <c r="G35" s="8"/>
    </row>
    <row r="36" spans="1:7" x14ac:dyDescent="0.25">
      <c r="A36" s="1" t="s">
        <v>36</v>
      </c>
      <c r="B36" s="15">
        <f t="shared" si="0"/>
        <v>33490.909999999996</v>
      </c>
      <c r="C36" s="8"/>
      <c r="D36" s="8"/>
      <c r="E36" s="8"/>
      <c r="F36" s="8"/>
      <c r="G36" s="8">
        <f>6440+3477.39+3431+17680+2462.52</f>
        <v>33490.909999999996</v>
      </c>
    </row>
    <row r="37" spans="1:7" x14ac:dyDescent="0.25">
      <c r="A37" s="1" t="s">
        <v>56</v>
      </c>
      <c r="B37" s="15">
        <f t="shared" si="0"/>
        <v>72715</v>
      </c>
      <c r="C37" s="8"/>
      <c r="D37" s="8"/>
      <c r="E37" s="8"/>
      <c r="F37" s="8"/>
      <c r="G37" s="8">
        <f>56512+4032+12171</f>
        <v>72715</v>
      </c>
    </row>
    <row r="38" spans="1:7" x14ac:dyDescent="0.25">
      <c r="A38" s="1" t="s">
        <v>100</v>
      </c>
      <c r="B38" s="15">
        <f t="shared" si="0"/>
        <v>860</v>
      </c>
      <c r="C38" s="8"/>
      <c r="D38" s="8"/>
      <c r="E38" s="8"/>
      <c r="F38" s="8"/>
      <c r="G38" s="8">
        <v>860</v>
      </c>
    </row>
    <row r="39" spans="1:7" x14ac:dyDescent="0.25">
      <c r="A39" s="1" t="s">
        <v>8</v>
      </c>
      <c r="B39" s="15">
        <f t="shared" si="0"/>
        <v>153586.25</v>
      </c>
      <c r="C39" s="8">
        <f>700.5+410.4+7988.76</f>
        <v>9099.66</v>
      </c>
      <c r="D39" s="8"/>
      <c r="E39" s="8">
        <f>601.87</f>
        <v>601.87</v>
      </c>
      <c r="F39" s="8">
        <f>4581.41+7978.88+587.47</f>
        <v>13147.76</v>
      </c>
      <c r="G39" s="8">
        <f>5324.89+7863.51+2103.51+1768.2+5642.05+304.54+1621.08+2463.22+5163.7+610.5+3731.08+6269.42+837.6+1418.14+1460.64+1267.8+3951+2663.75+431.71+6326.6+655.41+990.57+1601.4+5270.2+1253.74+5318.24+1200.64+6663.97+1833.57+4992.68+5017.95+3420.87+5165.05+5655.25+3329.34+2736.6+2401.56+354.92+1726.7+504.36+392.28+326.9+438.98+1049.7+326.9+1419.3+420.3+467+467+279.84+3832.8</f>
        <v>130736.95999999999</v>
      </c>
    </row>
    <row r="40" spans="1:7" x14ac:dyDescent="0.25">
      <c r="A40" s="1" t="s">
        <v>83</v>
      </c>
      <c r="B40" s="15">
        <f t="shared" si="0"/>
        <v>12397.32</v>
      </c>
      <c r="C40" s="8"/>
      <c r="D40" s="8"/>
      <c r="E40" s="8"/>
      <c r="F40" s="8"/>
      <c r="G40" s="8">
        <f>5878.35+6518.97</f>
        <v>12397.32</v>
      </c>
    </row>
    <row r="41" spans="1:7" x14ac:dyDescent="0.25">
      <c r="A41" s="1" t="s">
        <v>73</v>
      </c>
      <c r="B41" s="15">
        <f t="shared" si="0"/>
        <v>1539.86</v>
      </c>
      <c r="C41" s="8"/>
      <c r="D41" s="8"/>
      <c r="E41" s="8"/>
      <c r="F41" s="8"/>
      <c r="G41" s="8">
        <v>1539.86</v>
      </c>
    </row>
    <row r="42" spans="1:7" x14ac:dyDescent="0.25">
      <c r="A42" s="1" t="s">
        <v>215</v>
      </c>
      <c r="B42" s="20">
        <f t="shared" si="0"/>
        <v>1147.5</v>
      </c>
      <c r="C42" s="8"/>
      <c r="D42" s="8"/>
      <c r="E42" s="8">
        <v>1147.5</v>
      </c>
      <c r="F42" s="8"/>
      <c r="G42" s="8"/>
    </row>
    <row r="43" spans="1:7" x14ac:dyDescent="0.25">
      <c r="A43" s="1" t="s">
        <v>28</v>
      </c>
      <c r="B43" s="15">
        <f t="shared" si="0"/>
        <v>3180</v>
      </c>
      <c r="C43" s="8"/>
      <c r="D43" s="8"/>
      <c r="E43" s="8"/>
      <c r="F43" s="8"/>
      <c r="G43" s="8">
        <f>1980+1200</f>
        <v>3180</v>
      </c>
    </row>
    <row r="44" spans="1:7" x14ac:dyDescent="0.25">
      <c r="A44" s="1" t="s">
        <v>48</v>
      </c>
      <c r="B44" s="15">
        <f t="shared" si="0"/>
        <v>108</v>
      </c>
      <c r="C44" s="8"/>
      <c r="D44" s="8"/>
      <c r="E44" s="8"/>
      <c r="F44" s="8"/>
      <c r="G44" s="8">
        <v>108</v>
      </c>
    </row>
    <row r="45" spans="1:7" x14ac:dyDescent="0.25">
      <c r="A45" s="1" t="s">
        <v>204</v>
      </c>
      <c r="B45" s="20">
        <f t="shared" si="0"/>
        <v>5220</v>
      </c>
      <c r="C45" s="8"/>
      <c r="D45" s="8">
        <v>5220</v>
      </c>
      <c r="E45" s="8"/>
      <c r="F45" s="8"/>
      <c r="G45" s="8"/>
    </row>
    <row r="46" spans="1:7" x14ac:dyDescent="0.25">
      <c r="A46" s="1" t="s">
        <v>216</v>
      </c>
      <c r="B46" s="20">
        <f t="shared" si="0"/>
        <v>1425.48</v>
      </c>
      <c r="C46" s="8"/>
      <c r="D46" s="8"/>
      <c r="E46" s="8">
        <v>1425.48</v>
      </c>
      <c r="F46" s="8"/>
      <c r="G46" s="8"/>
    </row>
    <row r="47" spans="1:7" x14ac:dyDescent="0.25">
      <c r="A47" s="1" t="s">
        <v>78</v>
      </c>
      <c r="B47" s="15">
        <f t="shared" si="0"/>
        <v>5310</v>
      </c>
      <c r="C47" s="8"/>
      <c r="D47" s="8"/>
      <c r="E47" s="8"/>
      <c r="F47" s="8"/>
      <c r="G47" s="8">
        <v>5310</v>
      </c>
    </row>
    <row r="48" spans="1:7" x14ac:dyDescent="0.25">
      <c r="A48" s="1" t="s">
        <v>162</v>
      </c>
      <c r="B48" s="20">
        <f t="shared" si="0"/>
        <v>3120</v>
      </c>
      <c r="C48" s="8">
        <v>3120</v>
      </c>
      <c r="D48" s="8"/>
      <c r="E48" s="8"/>
      <c r="F48" s="8"/>
      <c r="G48" s="8"/>
    </row>
    <row r="49" spans="1:7" x14ac:dyDescent="0.25">
      <c r="A49" s="1" t="s">
        <v>29</v>
      </c>
      <c r="B49" s="15">
        <f t="shared" si="0"/>
        <v>1894.78</v>
      </c>
      <c r="C49" s="8"/>
      <c r="D49" s="8"/>
      <c r="E49" s="8"/>
      <c r="F49" s="8"/>
      <c r="G49" s="8">
        <f>763.3+1131.48</f>
        <v>1894.78</v>
      </c>
    </row>
    <row r="50" spans="1:7" x14ac:dyDescent="0.25">
      <c r="A50" s="1" t="s">
        <v>134</v>
      </c>
      <c r="B50" s="15">
        <f t="shared" si="0"/>
        <v>3414.02</v>
      </c>
      <c r="C50" s="8"/>
      <c r="D50" s="8"/>
      <c r="E50" s="8"/>
      <c r="F50" s="8"/>
      <c r="G50" s="8">
        <f>3288.02+126</f>
        <v>3414.02</v>
      </c>
    </row>
    <row r="51" spans="1:7" x14ac:dyDescent="0.25">
      <c r="A51" s="1" t="s">
        <v>144</v>
      </c>
      <c r="B51" s="15">
        <f t="shared" si="0"/>
        <v>24128</v>
      </c>
      <c r="C51" s="8"/>
      <c r="D51" s="8"/>
      <c r="E51" s="8">
        <v>3282</v>
      </c>
      <c r="F51" s="8">
        <v>1159</v>
      </c>
      <c r="G51" s="8">
        <f>239+850+139+239+538+723+1460+1433+139+1715+1085+2880+2171+1084+1502+1305+560+1166+459</f>
        <v>19687</v>
      </c>
    </row>
    <row r="52" spans="1:7" x14ac:dyDescent="0.25">
      <c r="A52" s="1" t="s">
        <v>109</v>
      </c>
      <c r="B52" s="15">
        <f t="shared" si="0"/>
        <v>16740</v>
      </c>
      <c r="C52" s="8"/>
      <c r="D52" s="8"/>
      <c r="E52" s="8"/>
      <c r="F52" s="8"/>
      <c r="G52" s="8">
        <v>16740</v>
      </c>
    </row>
    <row r="53" spans="1:7" x14ac:dyDescent="0.25">
      <c r="A53" s="1" t="s">
        <v>168</v>
      </c>
      <c r="B53" s="20">
        <f t="shared" si="0"/>
        <v>13062.259999999998</v>
      </c>
      <c r="C53" s="8">
        <f>1190.54+11871.72</f>
        <v>13062.259999999998</v>
      </c>
      <c r="D53" s="8"/>
      <c r="E53" s="8"/>
      <c r="F53" s="8"/>
      <c r="G53" s="8"/>
    </row>
    <row r="54" spans="1:7" x14ac:dyDescent="0.25">
      <c r="A54" s="1" t="s">
        <v>82</v>
      </c>
      <c r="B54" s="15">
        <f t="shared" si="0"/>
        <v>2099</v>
      </c>
      <c r="C54" s="8"/>
      <c r="D54" s="8"/>
      <c r="E54" s="8"/>
      <c r="F54" s="8"/>
      <c r="G54" s="8">
        <v>2099</v>
      </c>
    </row>
    <row r="55" spans="1:7" x14ac:dyDescent="0.25">
      <c r="A55" s="1" t="s">
        <v>4</v>
      </c>
      <c r="B55" s="15">
        <f t="shared" si="0"/>
        <v>96843.55</v>
      </c>
      <c r="C55" s="8"/>
      <c r="D55" s="8">
        <f>4800+4961.55</f>
        <v>9761.5499999999993</v>
      </c>
      <c r="E55" s="8">
        <v>316.2</v>
      </c>
      <c r="F55" s="8"/>
      <c r="G55" s="8">
        <f>4622.4+3432.55+1083.19+3118.29+742.31+4429.51+11233.2+326.7+9600+570+3480+1782+3099.6+1764+1060.8+530.9+4465+4327.26+2320.2+7000+883.21+267.42+1339.92+8669.1+3442.14+1662.5+1095.54+418.06</f>
        <v>86765.8</v>
      </c>
    </row>
    <row r="56" spans="1:7" x14ac:dyDescent="0.25">
      <c r="A56" s="1" t="s">
        <v>116</v>
      </c>
      <c r="B56" s="15">
        <f t="shared" si="0"/>
        <v>5373.09</v>
      </c>
      <c r="C56" s="8"/>
      <c r="D56" s="8"/>
      <c r="E56" s="8"/>
      <c r="F56" s="8"/>
      <c r="G56" s="8">
        <f>1716+3657.09</f>
        <v>5373.09</v>
      </c>
    </row>
    <row r="57" spans="1:7" x14ac:dyDescent="0.25">
      <c r="A57" s="1" t="s">
        <v>194</v>
      </c>
      <c r="B57" s="20">
        <f t="shared" si="0"/>
        <v>1504.93</v>
      </c>
      <c r="C57" s="8"/>
      <c r="D57" s="8">
        <v>1504.93</v>
      </c>
      <c r="E57" s="8"/>
      <c r="F57" s="8"/>
      <c r="G57" s="8"/>
    </row>
    <row r="58" spans="1:7" x14ac:dyDescent="0.25">
      <c r="A58" s="1" t="s">
        <v>167</v>
      </c>
      <c r="B58" s="20">
        <f t="shared" si="0"/>
        <v>3531.62</v>
      </c>
      <c r="C58" s="8">
        <f>731.58+2800.04</f>
        <v>3531.62</v>
      </c>
      <c r="D58" s="8"/>
      <c r="E58" s="8"/>
      <c r="F58" s="8"/>
      <c r="G58" s="8"/>
    </row>
    <row r="59" spans="1:7" x14ac:dyDescent="0.25">
      <c r="A59" s="1" t="s">
        <v>24</v>
      </c>
      <c r="B59" s="15">
        <f t="shared" si="0"/>
        <v>10176</v>
      </c>
      <c r="C59" s="8">
        <f>200+258</f>
        <v>458</v>
      </c>
      <c r="D59" s="8">
        <f>399+355</f>
        <v>754</v>
      </c>
      <c r="E59" s="8">
        <f>351</f>
        <v>351</v>
      </c>
      <c r="F59" s="8">
        <f>300+288+350</f>
        <v>938</v>
      </c>
      <c r="G59" s="8">
        <f>350+710+200+355+200+355+355+300+200+355+355+355+200+355+355+355+400+355+355+500+355+355</f>
        <v>7675</v>
      </c>
    </row>
    <row r="60" spans="1:7" x14ac:dyDescent="0.25">
      <c r="A60" s="1" t="s">
        <v>211</v>
      </c>
      <c r="B60" s="20">
        <f t="shared" si="0"/>
        <v>16000</v>
      </c>
      <c r="C60" s="8"/>
      <c r="D60" s="8"/>
      <c r="E60" s="8">
        <v>16000</v>
      </c>
      <c r="F60" s="8"/>
      <c r="G60" s="8"/>
    </row>
    <row r="61" spans="1:7" x14ac:dyDescent="0.25">
      <c r="A61" s="1" t="s">
        <v>201</v>
      </c>
      <c r="B61" s="20">
        <f t="shared" si="0"/>
        <v>2572</v>
      </c>
      <c r="C61" s="8"/>
      <c r="D61" s="8">
        <v>2572</v>
      </c>
      <c r="E61" s="8"/>
      <c r="F61" s="8"/>
      <c r="G61" s="8"/>
    </row>
    <row r="62" spans="1:7" x14ac:dyDescent="0.25">
      <c r="A62" s="1" t="s">
        <v>198</v>
      </c>
      <c r="B62" s="20">
        <f t="shared" si="0"/>
        <v>1800</v>
      </c>
      <c r="C62" s="8"/>
      <c r="D62" s="8">
        <v>1800</v>
      </c>
      <c r="E62" s="8"/>
      <c r="F62" s="8"/>
      <c r="G62" s="8"/>
    </row>
    <row r="63" spans="1:7" x14ac:dyDescent="0.25">
      <c r="A63" s="1" t="s">
        <v>120</v>
      </c>
      <c r="B63" s="15">
        <f t="shared" si="0"/>
        <v>185.4</v>
      </c>
      <c r="C63" s="8"/>
      <c r="D63" s="8"/>
      <c r="E63" s="8"/>
      <c r="F63" s="8"/>
      <c r="G63" s="8">
        <v>185.4</v>
      </c>
    </row>
    <row r="64" spans="1:7" x14ac:dyDescent="0.25">
      <c r="A64" s="1" t="s">
        <v>213</v>
      </c>
      <c r="B64" s="20">
        <f t="shared" si="0"/>
        <v>2094.16</v>
      </c>
      <c r="C64" s="8"/>
      <c r="D64" s="8"/>
      <c r="E64" s="8">
        <v>2094.16</v>
      </c>
      <c r="F64" s="8"/>
      <c r="G64" s="8"/>
    </row>
    <row r="65" spans="1:7" x14ac:dyDescent="0.25">
      <c r="A65" s="1" t="s">
        <v>18</v>
      </c>
      <c r="B65" s="15">
        <f t="shared" si="0"/>
        <v>75244.529999999984</v>
      </c>
      <c r="C65" s="8">
        <f>64.92+356</f>
        <v>420.92</v>
      </c>
      <c r="D65" s="8"/>
      <c r="E65" s="8">
        <f>2583.85+194.4</f>
        <v>2778.25</v>
      </c>
      <c r="F65" s="8">
        <f>2394.66+467.95+1304.27+1130.25+139.24</f>
        <v>5436.369999999999</v>
      </c>
      <c r="G65" s="8">
        <f>349.5+1350+737.1+869.25+467.8+1315+449.54+366.57+761.03+2009.99+16893.07+479.17+60.35+878.44+791.2+8139.42+2096.98+541.27+320+1361.35+1635.2+3628.63+145+4611.59+225.33+9059.9+231+379.8+387+5708.9+120+239.61</f>
        <v>66608.989999999991</v>
      </c>
    </row>
    <row r="66" spans="1:7" x14ac:dyDescent="0.25">
      <c r="A66" s="1" t="s">
        <v>10</v>
      </c>
      <c r="B66" s="15">
        <f t="shared" si="0"/>
        <v>21549.32</v>
      </c>
      <c r="C66" s="8"/>
      <c r="D66" s="8">
        <v>1280</v>
      </c>
      <c r="E66" s="8"/>
      <c r="F66" s="8"/>
      <c r="G66" s="8">
        <f>3299.88+1525.32+2730+1744+2592+1050+500+285+4805.94+1200+537.18</f>
        <v>20269.32</v>
      </c>
    </row>
    <row r="67" spans="1:7" x14ac:dyDescent="0.25">
      <c r="A67" s="1" t="s">
        <v>143</v>
      </c>
      <c r="B67" s="15">
        <f t="shared" ref="B67:B130" si="1">SUM(C67:G67)</f>
        <v>6424.13</v>
      </c>
      <c r="C67" s="8"/>
      <c r="D67" s="8"/>
      <c r="E67" s="8"/>
      <c r="F67" s="8"/>
      <c r="G67" s="8">
        <f>670.5+2120.13+896.9+2736.6</f>
        <v>6424.13</v>
      </c>
    </row>
    <row r="68" spans="1:7" x14ac:dyDescent="0.25">
      <c r="A68" s="1" t="s">
        <v>21</v>
      </c>
      <c r="B68" s="15">
        <f t="shared" si="1"/>
        <v>3337.41</v>
      </c>
      <c r="C68" s="8"/>
      <c r="D68" s="8">
        <v>630</v>
      </c>
      <c r="E68" s="8"/>
      <c r="F68" s="8"/>
      <c r="G68" s="8">
        <v>2707.41</v>
      </c>
    </row>
    <row r="69" spans="1:7" x14ac:dyDescent="0.25">
      <c r="A69" s="1" t="s">
        <v>79</v>
      </c>
      <c r="B69" s="15">
        <f t="shared" si="1"/>
        <v>1050</v>
      </c>
      <c r="C69" s="8"/>
      <c r="D69" s="8"/>
      <c r="E69" s="8"/>
      <c r="F69" s="8"/>
      <c r="G69" s="8">
        <v>1050</v>
      </c>
    </row>
    <row r="70" spans="1:7" x14ac:dyDescent="0.25">
      <c r="A70" s="1" t="s">
        <v>170</v>
      </c>
      <c r="B70" s="20">
        <f t="shared" si="1"/>
        <v>3132.96</v>
      </c>
      <c r="C70" s="8">
        <v>2562</v>
      </c>
      <c r="D70" s="8">
        <v>570.96</v>
      </c>
      <c r="E70" s="8"/>
      <c r="F70" s="8"/>
      <c r="G70" s="8"/>
    </row>
    <row r="71" spans="1:7" x14ac:dyDescent="0.25">
      <c r="A71" s="1" t="s">
        <v>121</v>
      </c>
      <c r="B71" s="15">
        <f t="shared" si="1"/>
        <v>8304.15</v>
      </c>
      <c r="C71" s="8"/>
      <c r="D71" s="8"/>
      <c r="E71" s="8"/>
      <c r="F71" s="8"/>
      <c r="G71" s="8">
        <f>648.78+360.11+1330.21+5965.05</f>
        <v>8304.15</v>
      </c>
    </row>
    <row r="72" spans="1:7" x14ac:dyDescent="0.25">
      <c r="A72" s="1" t="s">
        <v>145</v>
      </c>
      <c r="B72" s="15">
        <f t="shared" si="1"/>
        <v>14700</v>
      </c>
      <c r="C72" s="8"/>
      <c r="D72" s="8"/>
      <c r="E72" s="8"/>
      <c r="F72" s="8"/>
      <c r="G72" s="8">
        <v>14700</v>
      </c>
    </row>
    <row r="73" spans="1:7" x14ac:dyDescent="0.25">
      <c r="A73" s="1" t="s">
        <v>142</v>
      </c>
      <c r="B73" s="15">
        <f t="shared" si="1"/>
        <v>768.79</v>
      </c>
      <c r="C73" s="8"/>
      <c r="D73" s="8"/>
      <c r="E73" s="8"/>
      <c r="F73" s="8"/>
      <c r="G73" s="8">
        <v>768.79</v>
      </c>
    </row>
    <row r="74" spans="1:7" x14ac:dyDescent="0.25">
      <c r="A74" s="1" t="s">
        <v>6</v>
      </c>
      <c r="B74" s="15">
        <f t="shared" si="1"/>
        <v>68.5</v>
      </c>
      <c r="C74" s="8"/>
      <c r="D74" s="8"/>
      <c r="E74" s="8"/>
      <c r="F74" s="8"/>
      <c r="G74" s="8">
        <v>68.5</v>
      </c>
    </row>
    <row r="75" spans="1:7" x14ac:dyDescent="0.25">
      <c r="A75" s="1" t="s">
        <v>219</v>
      </c>
      <c r="B75" s="20">
        <f t="shared" si="1"/>
        <v>15029.5</v>
      </c>
      <c r="C75" s="8"/>
      <c r="D75" s="8"/>
      <c r="E75" s="8"/>
      <c r="F75" s="8">
        <v>15029.5</v>
      </c>
      <c r="G75" s="8"/>
    </row>
    <row r="76" spans="1:7" x14ac:dyDescent="0.25">
      <c r="A76" s="1" t="s">
        <v>126</v>
      </c>
      <c r="B76" s="15">
        <f t="shared" si="1"/>
        <v>3089</v>
      </c>
      <c r="C76" s="8"/>
      <c r="D76" s="8">
        <v>660</v>
      </c>
      <c r="E76" s="8">
        <v>2196</v>
      </c>
      <c r="F76" s="8"/>
      <c r="G76" s="8">
        <v>233</v>
      </c>
    </row>
    <row r="77" spans="1:7" x14ac:dyDescent="0.25">
      <c r="A77" s="1" t="s">
        <v>84</v>
      </c>
      <c r="B77" s="15">
        <f t="shared" si="1"/>
        <v>7967.76</v>
      </c>
      <c r="C77" s="8"/>
      <c r="D77" s="8"/>
      <c r="E77" s="8"/>
      <c r="F77" s="8"/>
      <c r="G77" s="8">
        <f>1926.06+6041.7</f>
        <v>7967.76</v>
      </c>
    </row>
    <row r="78" spans="1:7" x14ac:dyDescent="0.25">
      <c r="A78" s="1" t="s">
        <v>221</v>
      </c>
      <c r="B78" s="20">
        <f t="shared" si="1"/>
        <v>9714.48</v>
      </c>
      <c r="C78" s="8"/>
      <c r="D78" s="8"/>
      <c r="E78" s="8"/>
      <c r="F78" s="8">
        <v>9714.48</v>
      </c>
      <c r="G78" s="8"/>
    </row>
    <row r="79" spans="1:7" x14ac:dyDescent="0.25">
      <c r="A79" s="1" t="s">
        <v>46</v>
      </c>
      <c r="B79" s="15">
        <f t="shared" si="1"/>
        <v>4600</v>
      </c>
      <c r="C79" s="8"/>
      <c r="D79" s="8"/>
      <c r="E79" s="8"/>
      <c r="F79" s="8"/>
      <c r="G79" s="8">
        <v>4600</v>
      </c>
    </row>
    <row r="80" spans="1:7" x14ac:dyDescent="0.25">
      <c r="A80" s="1" t="s">
        <v>118</v>
      </c>
      <c r="B80" s="15">
        <f t="shared" si="1"/>
        <v>225.93</v>
      </c>
      <c r="C80" s="8"/>
      <c r="D80" s="8"/>
      <c r="E80" s="8"/>
      <c r="F80" s="8"/>
      <c r="G80" s="8">
        <v>225.93</v>
      </c>
    </row>
    <row r="81" spans="1:7" x14ac:dyDescent="0.25">
      <c r="A81" s="1" t="s">
        <v>94</v>
      </c>
      <c r="B81" s="15">
        <f t="shared" si="1"/>
        <v>3842</v>
      </c>
      <c r="C81" s="8"/>
      <c r="D81" s="8"/>
      <c r="E81" s="8"/>
      <c r="F81" s="8"/>
      <c r="G81" s="8">
        <v>3842</v>
      </c>
    </row>
    <row r="82" spans="1:7" x14ac:dyDescent="0.25">
      <c r="A82" s="1" t="s">
        <v>57</v>
      </c>
      <c r="B82" s="15">
        <f t="shared" si="1"/>
        <v>2076</v>
      </c>
      <c r="C82" s="8"/>
      <c r="D82" s="8">
        <v>324</v>
      </c>
      <c r="E82" s="8"/>
      <c r="F82" s="8"/>
      <c r="G82" s="8">
        <v>1752</v>
      </c>
    </row>
    <row r="83" spans="1:7" x14ac:dyDescent="0.25">
      <c r="A83" s="1" t="s">
        <v>122</v>
      </c>
      <c r="B83" s="15">
        <f t="shared" si="1"/>
        <v>15238.25</v>
      </c>
      <c r="C83" s="8"/>
      <c r="D83" s="8"/>
      <c r="E83" s="8"/>
      <c r="F83" s="8"/>
      <c r="G83" s="8">
        <f>3809.5+2104.25+2500+2500+3798+175.5+351</f>
        <v>15238.25</v>
      </c>
    </row>
    <row r="84" spans="1:7" x14ac:dyDescent="0.25">
      <c r="A84" s="1" t="s">
        <v>197</v>
      </c>
      <c r="B84" s="20">
        <f t="shared" si="1"/>
        <v>162.6</v>
      </c>
      <c r="C84" s="8"/>
      <c r="D84" s="8">
        <v>162.6</v>
      </c>
      <c r="E84" s="8"/>
      <c r="F84" s="8"/>
      <c r="G84" s="8"/>
    </row>
    <row r="85" spans="1:7" x14ac:dyDescent="0.25">
      <c r="A85" s="1" t="s">
        <v>71</v>
      </c>
      <c r="B85" s="15">
        <f t="shared" si="1"/>
        <v>357.03</v>
      </c>
      <c r="C85" s="8"/>
      <c r="D85" s="8"/>
      <c r="E85" s="8"/>
      <c r="F85" s="8"/>
      <c r="G85" s="8">
        <v>357.03</v>
      </c>
    </row>
    <row r="86" spans="1:7" x14ac:dyDescent="0.25">
      <c r="A86" s="1" t="s">
        <v>38</v>
      </c>
      <c r="B86" s="15">
        <f t="shared" si="1"/>
        <v>4400</v>
      </c>
      <c r="C86" s="8"/>
      <c r="D86" s="8"/>
      <c r="E86" s="8"/>
      <c r="F86" s="8"/>
      <c r="G86" s="8">
        <v>4400</v>
      </c>
    </row>
    <row r="87" spans="1:7" x14ac:dyDescent="0.25">
      <c r="A87" s="1" t="s">
        <v>165</v>
      </c>
      <c r="B87" s="20">
        <f t="shared" si="1"/>
        <v>5731.2</v>
      </c>
      <c r="C87" s="8">
        <v>5731.2</v>
      </c>
      <c r="D87" s="8"/>
      <c r="E87" s="8"/>
      <c r="F87" s="8"/>
      <c r="G87" s="8"/>
    </row>
    <row r="88" spans="1:7" x14ac:dyDescent="0.25">
      <c r="A88" s="1" t="s">
        <v>225</v>
      </c>
      <c r="B88" s="20">
        <f t="shared" si="1"/>
        <v>1579.2</v>
      </c>
      <c r="C88" s="8"/>
      <c r="D88" s="8"/>
      <c r="E88" s="8"/>
      <c r="F88" s="8">
        <v>1579.2</v>
      </c>
      <c r="G88" s="8"/>
    </row>
    <row r="89" spans="1:7" x14ac:dyDescent="0.25">
      <c r="A89" s="1" t="s">
        <v>106</v>
      </c>
      <c r="B89" s="15">
        <f t="shared" si="1"/>
        <v>2861</v>
      </c>
      <c r="C89" s="8"/>
      <c r="D89" s="8"/>
      <c r="E89" s="8"/>
      <c r="F89" s="8"/>
      <c r="G89" s="8">
        <f>1581+1280</f>
        <v>2861</v>
      </c>
    </row>
    <row r="90" spans="1:7" x14ac:dyDescent="0.25">
      <c r="A90" s="1" t="s">
        <v>75</v>
      </c>
      <c r="B90" s="15">
        <f t="shared" si="1"/>
        <v>2670.03</v>
      </c>
      <c r="C90" s="8"/>
      <c r="D90" s="8"/>
      <c r="E90" s="8"/>
      <c r="F90" s="8"/>
      <c r="G90" s="8">
        <v>2670.03</v>
      </c>
    </row>
    <row r="91" spans="1:7" x14ac:dyDescent="0.25">
      <c r="A91" s="1" t="s">
        <v>140</v>
      </c>
      <c r="B91" s="15">
        <f t="shared" si="1"/>
        <v>14394.9</v>
      </c>
      <c r="C91" s="8"/>
      <c r="D91" s="8"/>
      <c r="E91" s="8"/>
      <c r="F91" s="8"/>
      <c r="G91" s="8">
        <v>14394.9</v>
      </c>
    </row>
    <row r="92" spans="1:7" x14ac:dyDescent="0.25">
      <c r="A92" s="1" t="s">
        <v>41</v>
      </c>
      <c r="B92" s="15">
        <f t="shared" si="1"/>
        <v>90185.41</v>
      </c>
      <c r="C92" s="8"/>
      <c r="D92" s="8">
        <f>2518.8+4534.2</f>
        <v>7053</v>
      </c>
      <c r="E92" s="8">
        <v>7445.58</v>
      </c>
      <c r="F92" s="8">
        <v>1568.95</v>
      </c>
      <c r="G92" s="8">
        <f>10407.3+233.91+7919.88+7078.2+7565.64+4736.52+8658.18+7928.16+7599.18+1496.64+2368.92+7621.44+503.91</f>
        <v>74117.88</v>
      </c>
    </row>
    <row r="93" spans="1:7" x14ac:dyDescent="0.25">
      <c r="A93" s="1" t="s">
        <v>178</v>
      </c>
      <c r="B93" s="20">
        <f t="shared" si="1"/>
        <v>10605</v>
      </c>
      <c r="C93" s="8">
        <v>10605</v>
      </c>
      <c r="D93" s="8"/>
      <c r="E93" s="8"/>
      <c r="F93" s="8"/>
      <c r="G93" s="8"/>
    </row>
    <row r="94" spans="1:7" x14ac:dyDescent="0.25">
      <c r="A94" s="1" t="s">
        <v>103</v>
      </c>
      <c r="B94" s="15">
        <f t="shared" si="1"/>
        <v>67.86</v>
      </c>
      <c r="C94" s="8"/>
      <c r="D94" s="8"/>
      <c r="E94" s="8"/>
      <c r="F94" s="8"/>
      <c r="G94" s="8">
        <v>67.86</v>
      </c>
    </row>
    <row r="95" spans="1:7" x14ac:dyDescent="0.25">
      <c r="A95" s="1" t="s">
        <v>97</v>
      </c>
      <c r="B95" s="15">
        <f t="shared" si="1"/>
        <v>2100</v>
      </c>
      <c r="C95" s="8"/>
      <c r="D95" s="8"/>
      <c r="E95" s="8"/>
      <c r="F95" s="8"/>
      <c r="G95" s="8">
        <f>1050+1050</f>
        <v>2100</v>
      </c>
    </row>
    <row r="96" spans="1:7" x14ac:dyDescent="0.25">
      <c r="A96" s="1" t="s">
        <v>27</v>
      </c>
      <c r="B96" s="15">
        <f t="shared" si="1"/>
        <v>84083.42</v>
      </c>
      <c r="C96" s="8"/>
      <c r="D96" s="8"/>
      <c r="E96" s="8"/>
      <c r="F96" s="8"/>
      <c r="G96" s="8">
        <f>1016.74+25000+30000.3+28066.38</f>
        <v>84083.42</v>
      </c>
    </row>
    <row r="97" spans="1:7" x14ac:dyDescent="0.25">
      <c r="A97" s="1" t="s">
        <v>65</v>
      </c>
      <c r="B97" s="15">
        <f t="shared" si="1"/>
        <v>37624</v>
      </c>
      <c r="C97" s="8"/>
      <c r="D97" s="8"/>
      <c r="E97" s="8"/>
      <c r="F97" s="8"/>
      <c r="G97" s="8">
        <v>37624</v>
      </c>
    </row>
    <row r="98" spans="1:7" x14ac:dyDescent="0.25">
      <c r="A98" s="1" t="s">
        <v>180</v>
      </c>
      <c r="B98" s="20">
        <f t="shared" si="1"/>
        <v>6722</v>
      </c>
      <c r="C98" s="8">
        <v>1622</v>
      </c>
      <c r="D98" s="8">
        <v>5100</v>
      </c>
      <c r="E98" s="8"/>
      <c r="F98" s="8"/>
      <c r="G98" s="8"/>
    </row>
    <row r="99" spans="1:7" x14ac:dyDescent="0.25">
      <c r="A99" s="1" t="s">
        <v>138</v>
      </c>
      <c r="B99" s="15">
        <f t="shared" si="1"/>
        <v>43593.69</v>
      </c>
      <c r="C99" s="8">
        <f>809.1</f>
        <v>809.1</v>
      </c>
      <c r="D99" s="8"/>
      <c r="E99" s="8">
        <v>2047.4</v>
      </c>
      <c r="F99" s="8">
        <f>22387.63</f>
        <v>22387.63</v>
      </c>
      <c r="G99" s="8">
        <f>1665.36+2248.92+302.62+460.2+804.55+1200+325+3280+402+4680+485+500+1339.91+656</f>
        <v>18349.560000000001</v>
      </c>
    </row>
    <row r="100" spans="1:7" x14ac:dyDescent="0.25">
      <c r="A100" s="1" t="s">
        <v>171</v>
      </c>
      <c r="B100" s="20">
        <f t="shared" si="1"/>
        <v>20078.38</v>
      </c>
      <c r="C100" s="8">
        <f>734.52+12827.1+312.3+36+174.86+3857.83+364</f>
        <v>18306.61</v>
      </c>
      <c r="D100" s="8"/>
      <c r="E100" s="8"/>
      <c r="F100" s="8">
        <f>1771.77</f>
        <v>1771.77</v>
      </c>
      <c r="G100" s="8"/>
    </row>
    <row r="101" spans="1:7" x14ac:dyDescent="0.25">
      <c r="A101" s="1" t="s">
        <v>172</v>
      </c>
      <c r="B101" s="20">
        <f t="shared" si="1"/>
        <v>13266.31</v>
      </c>
      <c r="C101" s="8">
        <f>3081+7022.89+3162.42</f>
        <v>13266.31</v>
      </c>
      <c r="D101" s="8"/>
      <c r="E101" s="8"/>
      <c r="F101" s="8"/>
      <c r="G101" s="8"/>
    </row>
    <row r="102" spans="1:7" x14ac:dyDescent="0.25">
      <c r="A102" s="1" t="s">
        <v>181</v>
      </c>
      <c r="B102" s="20">
        <f t="shared" si="1"/>
        <v>11736</v>
      </c>
      <c r="C102" s="8">
        <v>11736</v>
      </c>
      <c r="D102" s="8"/>
      <c r="E102" s="8"/>
      <c r="F102" s="8"/>
      <c r="G102" s="8"/>
    </row>
    <row r="103" spans="1:7" x14ac:dyDescent="0.25">
      <c r="A103" s="1" t="s">
        <v>51</v>
      </c>
      <c r="B103" s="15">
        <f t="shared" si="1"/>
        <v>9997.5</v>
      </c>
      <c r="C103" s="8"/>
      <c r="D103" s="8"/>
      <c r="E103" s="8"/>
      <c r="F103" s="8"/>
      <c r="G103" s="8">
        <f>1370+8627.5</f>
        <v>9997.5</v>
      </c>
    </row>
    <row r="104" spans="1:7" x14ac:dyDescent="0.25">
      <c r="A104" s="1" t="s">
        <v>43</v>
      </c>
      <c r="B104" s="15">
        <f t="shared" si="1"/>
        <v>3220.08</v>
      </c>
      <c r="C104" s="8"/>
      <c r="D104" s="8"/>
      <c r="E104" s="8">
        <f>1301.07+228.61</f>
        <v>1529.6799999999998</v>
      </c>
      <c r="F104" s="8">
        <f>246.41</f>
        <v>246.41</v>
      </c>
      <c r="G104" s="8">
        <f>409.47+51.95+619.2+45.22+49.8+268.35</f>
        <v>1443.9900000000002</v>
      </c>
    </row>
    <row r="105" spans="1:7" x14ac:dyDescent="0.25">
      <c r="A105" s="1" t="s">
        <v>86</v>
      </c>
      <c r="B105" s="15">
        <f t="shared" si="1"/>
        <v>1283</v>
      </c>
      <c r="C105" s="8"/>
      <c r="D105" s="8"/>
      <c r="E105" s="8"/>
      <c r="F105" s="8"/>
      <c r="G105" s="8">
        <v>1283</v>
      </c>
    </row>
    <row r="106" spans="1:7" x14ac:dyDescent="0.25">
      <c r="A106" s="1" t="s">
        <v>67</v>
      </c>
      <c r="B106" s="15">
        <f t="shared" si="1"/>
        <v>528.79999999999995</v>
      </c>
      <c r="C106" s="8"/>
      <c r="D106" s="8"/>
      <c r="E106" s="8"/>
      <c r="F106" s="8">
        <v>339.8</v>
      </c>
      <c r="G106" s="8">
        <v>189</v>
      </c>
    </row>
    <row r="107" spans="1:7" x14ac:dyDescent="0.25">
      <c r="A107" s="1" t="s">
        <v>2</v>
      </c>
      <c r="B107" s="15">
        <f t="shared" si="1"/>
        <v>75952.08</v>
      </c>
      <c r="C107" s="8"/>
      <c r="D107" s="8">
        <f>897.08+290.31+4731.2</f>
        <v>5918.59</v>
      </c>
      <c r="E107" s="8">
        <v>461.43</v>
      </c>
      <c r="F107" s="8">
        <f>2380.44</f>
        <v>2380.44</v>
      </c>
      <c r="G107" s="8">
        <f>300.5+3273.55+7222.32+321.14+7654+20000+112.86+82.1+201+6519.12+2771.33+11525.1+6842.6+366</f>
        <v>67191.62</v>
      </c>
    </row>
    <row r="108" spans="1:7" x14ac:dyDescent="0.25">
      <c r="A108" s="1" t="s">
        <v>183</v>
      </c>
      <c r="B108" s="20">
        <f t="shared" si="1"/>
        <v>19368</v>
      </c>
      <c r="C108" s="8">
        <v>19368</v>
      </c>
      <c r="D108" s="8"/>
      <c r="E108" s="8"/>
      <c r="F108" s="8"/>
      <c r="G108" s="8"/>
    </row>
    <row r="109" spans="1:7" x14ac:dyDescent="0.25">
      <c r="A109" s="1" t="s">
        <v>205</v>
      </c>
      <c r="B109" s="20">
        <f t="shared" si="1"/>
        <v>42060</v>
      </c>
      <c r="C109" s="8">
        <v>21030</v>
      </c>
      <c r="D109" s="8"/>
      <c r="E109" s="8">
        <v>21030</v>
      </c>
      <c r="F109" s="8"/>
      <c r="G109" s="8"/>
    </row>
    <row r="110" spans="1:7" x14ac:dyDescent="0.25">
      <c r="A110" s="1" t="s">
        <v>163</v>
      </c>
      <c r="B110" s="20">
        <f t="shared" si="1"/>
        <v>3699</v>
      </c>
      <c r="C110" s="8">
        <v>3699</v>
      </c>
      <c r="D110" s="8"/>
      <c r="E110" s="8"/>
      <c r="F110" s="8"/>
      <c r="G110" s="8"/>
    </row>
    <row r="111" spans="1:7" x14ac:dyDescent="0.25">
      <c r="A111" s="1" t="s">
        <v>206</v>
      </c>
      <c r="B111" s="20">
        <f t="shared" si="1"/>
        <v>91.52</v>
      </c>
      <c r="C111" s="8"/>
      <c r="D111" s="8"/>
      <c r="E111" s="8">
        <v>91.52</v>
      </c>
      <c r="F111" s="8"/>
      <c r="G111" s="8"/>
    </row>
    <row r="112" spans="1:7" x14ac:dyDescent="0.25">
      <c r="A112" s="1" t="s">
        <v>186</v>
      </c>
      <c r="B112" s="20">
        <f t="shared" si="1"/>
        <v>15000</v>
      </c>
      <c r="C112" s="8">
        <v>15000</v>
      </c>
      <c r="D112" s="8"/>
      <c r="E112" s="8"/>
      <c r="F112" s="8"/>
      <c r="G112" s="8"/>
    </row>
    <row r="113" spans="1:7" x14ac:dyDescent="0.25">
      <c r="A113" s="1" t="s">
        <v>55</v>
      </c>
      <c r="B113" s="15">
        <f t="shared" si="1"/>
        <v>16500</v>
      </c>
      <c r="C113" s="8"/>
      <c r="D113" s="8"/>
      <c r="E113" s="8"/>
      <c r="F113" s="8"/>
      <c r="G113" s="8">
        <v>16500</v>
      </c>
    </row>
    <row r="114" spans="1:7" x14ac:dyDescent="0.25">
      <c r="A114" s="1" t="s">
        <v>98</v>
      </c>
      <c r="B114" s="15">
        <f t="shared" si="1"/>
        <v>2460</v>
      </c>
      <c r="C114" s="8"/>
      <c r="D114" s="8"/>
      <c r="E114" s="8"/>
      <c r="F114" s="8"/>
      <c r="G114" s="8">
        <v>2460</v>
      </c>
    </row>
    <row r="115" spans="1:7" x14ac:dyDescent="0.25">
      <c r="A115" s="1" t="s">
        <v>34</v>
      </c>
      <c r="B115" s="15">
        <f t="shared" si="1"/>
        <v>4145.7</v>
      </c>
      <c r="C115" s="8"/>
      <c r="D115" s="8"/>
      <c r="E115" s="8"/>
      <c r="F115" s="8"/>
      <c r="G115" s="8">
        <f>3572.1+573.6</f>
        <v>4145.7</v>
      </c>
    </row>
    <row r="116" spans="1:7" x14ac:dyDescent="0.25">
      <c r="A116" s="1" t="s">
        <v>108</v>
      </c>
      <c r="B116" s="15">
        <f t="shared" si="1"/>
        <v>25225.170000000002</v>
      </c>
      <c r="C116" s="8"/>
      <c r="D116" s="8"/>
      <c r="E116" s="8"/>
      <c r="F116" s="8"/>
      <c r="G116" s="8">
        <f>12525.25+2771.36+145.08+4147.82+2398.03+400+832.82+271+562.95+848.98+107.88+214</f>
        <v>25225.170000000002</v>
      </c>
    </row>
    <row r="117" spans="1:7" x14ac:dyDescent="0.25">
      <c r="A117" s="1" t="s">
        <v>31</v>
      </c>
      <c r="B117" s="15">
        <f t="shared" si="1"/>
        <v>34048.22</v>
      </c>
      <c r="C117" s="8"/>
      <c r="D117" s="8"/>
      <c r="E117" s="8"/>
      <c r="F117" s="8"/>
      <c r="G117" s="8">
        <f>5400+2416+9171+2416+210+2937+2957.61+150+714.8+2160+5515.81</f>
        <v>34048.22</v>
      </c>
    </row>
    <row r="118" spans="1:7" x14ac:dyDescent="0.25">
      <c r="A118" s="1" t="s">
        <v>60</v>
      </c>
      <c r="B118" s="15">
        <f t="shared" si="1"/>
        <v>1879</v>
      </c>
      <c r="C118" s="8"/>
      <c r="D118" s="8"/>
      <c r="E118" s="8"/>
      <c r="F118" s="8"/>
      <c r="G118" s="8">
        <f>654+1225</f>
        <v>1879</v>
      </c>
    </row>
    <row r="119" spans="1:7" x14ac:dyDescent="0.25">
      <c r="A119" s="1" t="s">
        <v>99</v>
      </c>
      <c r="B119" s="15">
        <f t="shared" si="1"/>
        <v>1700</v>
      </c>
      <c r="C119" s="8"/>
      <c r="D119" s="8"/>
      <c r="E119" s="8"/>
      <c r="F119" s="8"/>
      <c r="G119" s="8">
        <v>1700</v>
      </c>
    </row>
    <row r="120" spans="1:7" x14ac:dyDescent="0.25">
      <c r="A120" s="1" t="s">
        <v>218</v>
      </c>
      <c r="B120" s="20">
        <f t="shared" si="1"/>
        <v>800</v>
      </c>
      <c r="C120" s="8"/>
      <c r="D120" s="8"/>
      <c r="E120" s="8">
        <v>400</v>
      </c>
      <c r="F120" s="8">
        <v>400</v>
      </c>
      <c r="G120" s="8"/>
    </row>
    <row r="121" spans="1:7" x14ac:dyDescent="0.25">
      <c r="A121" s="1" t="s">
        <v>17</v>
      </c>
      <c r="B121" s="15">
        <f t="shared" si="1"/>
        <v>83940.469999999987</v>
      </c>
      <c r="C121" s="8">
        <v>1920</v>
      </c>
      <c r="D121" s="8"/>
      <c r="E121" s="8">
        <v>494</v>
      </c>
      <c r="F121" s="8">
        <v>3840</v>
      </c>
      <c r="G121" s="8">
        <f>1920+2924.7+1920+971+2768+1107+1920+15502.4+1920+1005+522+3840+1028+25358.89+6370+6039.48+2570</f>
        <v>77686.469999999987</v>
      </c>
    </row>
    <row r="122" spans="1:7" x14ac:dyDescent="0.25">
      <c r="A122" s="1" t="s">
        <v>20</v>
      </c>
      <c r="B122" s="15">
        <f t="shared" si="1"/>
        <v>2925.3999999999996</v>
      </c>
      <c r="C122" s="8"/>
      <c r="D122" s="8"/>
      <c r="E122" s="8"/>
      <c r="F122" s="8"/>
      <c r="G122" s="8">
        <f>531+448.8+352.8+1592.8</f>
        <v>2925.3999999999996</v>
      </c>
    </row>
    <row r="123" spans="1:7" x14ac:dyDescent="0.25">
      <c r="A123" s="1" t="s">
        <v>63</v>
      </c>
      <c r="B123" s="15">
        <f t="shared" si="1"/>
        <v>740</v>
      </c>
      <c r="C123" s="8"/>
      <c r="D123" s="8"/>
      <c r="E123" s="8"/>
      <c r="F123" s="8"/>
      <c r="G123" s="8">
        <v>740</v>
      </c>
    </row>
    <row r="124" spans="1:7" x14ac:dyDescent="0.25">
      <c r="A124" s="1" t="s">
        <v>217</v>
      </c>
      <c r="B124" s="20">
        <f t="shared" si="1"/>
        <v>584</v>
      </c>
      <c r="C124" s="8"/>
      <c r="D124" s="8"/>
      <c r="E124" s="8">
        <v>292</v>
      </c>
      <c r="F124" s="8">
        <v>292</v>
      </c>
      <c r="G124" s="8"/>
    </row>
    <row r="125" spans="1:7" x14ac:dyDescent="0.25">
      <c r="A125" s="1" t="s">
        <v>13</v>
      </c>
      <c r="B125" s="15">
        <f t="shared" si="1"/>
        <v>1456.3999999999999</v>
      </c>
      <c r="C125" s="8"/>
      <c r="D125" s="8"/>
      <c r="E125" s="8"/>
      <c r="F125" s="8"/>
      <c r="G125" s="8">
        <f>145.14+1226.12+85.14</f>
        <v>1456.3999999999999</v>
      </c>
    </row>
    <row r="126" spans="1:7" x14ac:dyDescent="0.25">
      <c r="A126" s="1" t="s">
        <v>209</v>
      </c>
      <c r="B126" s="20">
        <f t="shared" si="1"/>
        <v>320</v>
      </c>
      <c r="C126" s="8"/>
      <c r="D126" s="8"/>
      <c r="E126" s="8">
        <v>320</v>
      </c>
      <c r="F126" s="8"/>
      <c r="G126" s="8"/>
    </row>
    <row r="127" spans="1:7" x14ac:dyDescent="0.25">
      <c r="A127" s="1" t="s">
        <v>47</v>
      </c>
      <c r="B127" s="15">
        <f t="shared" si="1"/>
        <v>319.5</v>
      </c>
      <c r="C127" s="8"/>
      <c r="D127" s="8"/>
      <c r="E127" s="8"/>
      <c r="F127" s="8"/>
      <c r="G127" s="8">
        <v>319.5</v>
      </c>
    </row>
    <row r="128" spans="1:7" x14ac:dyDescent="0.25">
      <c r="A128" s="1" t="s">
        <v>62</v>
      </c>
      <c r="B128" s="15">
        <f t="shared" si="1"/>
        <v>1463.8</v>
      </c>
      <c r="C128" s="8"/>
      <c r="D128" s="8"/>
      <c r="E128" s="8"/>
      <c r="F128" s="8"/>
      <c r="G128" s="8">
        <v>1463.8</v>
      </c>
    </row>
    <row r="129" spans="1:7" x14ac:dyDescent="0.25">
      <c r="A129" s="1" t="s">
        <v>107</v>
      </c>
      <c r="B129" s="15">
        <f t="shared" si="1"/>
        <v>802.11</v>
      </c>
      <c r="C129" s="8"/>
      <c r="D129" s="8"/>
      <c r="E129" s="8"/>
      <c r="F129" s="8"/>
      <c r="G129" s="8">
        <v>802.11</v>
      </c>
    </row>
    <row r="130" spans="1:7" x14ac:dyDescent="0.25">
      <c r="A130" s="1" t="s">
        <v>223</v>
      </c>
      <c r="B130" s="20">
        <f t="shared" si="1"/>
        <v>670</v>
      </c>
      <c r="C130" s="8"/>
      <c r="D130" s="8"/>
      <c r="E130" s="8"/>
      <c r="F130" s="8">
        <v>670</v>
      </c>
      <c r="G130" s="8"/>
    </row>
    <row r="131" spans="1:7" x14ac:dyDescent="0.25">
      <c r="A131" s="1" t="s">
        <v>210</v>
      </c>
      <c r="B131" s="20">
        <f t="shared" ref="B131:B194" si="2">SUM(C131:G131)</f>
        <v>535.38</v>
      </c>
      <c r="C131" s="8"/>
      <c r="D131" s="8"/>
      <c r="E131" s="8">
        <v>535.38</v>
      </c>
      <c r="F131" s="8"/>
      <c r="G131" s="8"/>
    </row>
    <row r="132" spans="1:7" x14ac:dyDescent="0.25">
      <c r="A132" s="1" t="s">
        <v>88</v>
      </c>
      <c r="B132" s="15">
        <f t="shared" si="2"/>
        <v>17094</v>
      </c>
      <c r="C132" s="8"/>
      <c r="D132" s="8"/>
      <c r="E132" s="8"/>
      <c r="F132" s="8"/>
      <c r="G132" s="8">
        <f>9747+7347</f>
        <v>17094</v>
      </c>
    </row>
    <row r="133" spans="1:7" x14ac:dyDescent="0.25">
      <c r="A133" s="1" t="s">
        <v>169</v>
      </c>
      <c r="B133" s="20">
        <f t="shared" si="2"/>
        <v>10676.4</v>
      </c>
      <c r="C133" s="8">
        <v>10676.4</v>
      </c>
      <c r="D133" s="8"/>
      <c r="E133" s="8"/>
      <c r="F133" s="8"/>
      <c r="G133" s="8"/>
    </row>
    <row r="134" spans="1:7" x14ac:dyDescent="0.25">
      <c r="A134" s="1" t="s">
        <v>19</v>
      </c>
      <c r="B134" s="15">
        <f t="shared" si="2"/>
        <v>3990</v>
      </c>
      <c r="C134" s="8"/>
      <c r="D134" s="8"/>
      <c r="E134" s="8"/>
      <c r="F134" s="8"/>
      <c r="G134" s="8">
        <v>3990</v>
      </c>
    </row>
    <row r="135" spans="1:7" x14ac:dyDescent="0.25">
      <c r="A135" s="1" t="s">
        <v>176</v>
      </c>
      <c r="B135" s="20">
        <f t="shared" si="2"/>
        <v>19310.440000000002</v>
      </c>
      <c r="C135" s="8">
        <v>16192.36</v>
      </c>
      <c r="D135" s="8">
        <v>3118.08</v>
      </c>
      <c r="E135" s="8"/>
      <c r="F135" s="8"/>
      <c r="G135" s="8"/>
    </row>
    <row r="136" spans="1:7" x14ac:dyDescent="0.25">
      <c r="A136" s="1" t="s">
        <v>59</v>
      </c>
      <c r="B136" s="15">
        <f t="shared" si="2"/>
        <v>3000</v>
      </c>
      <c r="C136" s="8"/>
      <c r="D136" s="8"/>
      <c r="E136" s="8"/>
      <c r="F136" s="8"/>
      <c r="G136" s="8">
        <v>3000</v>
      </c>
    </row>
    <row r="137" spans="1:7" x14ac:dyDescent="0.25">
      <c r="A137" s="1" t="s">
        <v>15</v>
      </c>
      <c r="B137" s="15">
        <f t="shared" si="2"/>
        <v>15103.5</v>
      </c>
      <c r="C137" s="8"/>
      <c r="D137" s="8"/>
      <c r="E137" s="8">
        <v>5445</v>
      </c>
      <c r="F137" s="8">
        <v>1580</v>
      </c>
      <c r="G137" s="8">
        <f>725+1705+374+1725+679.5+2470+400</f>
        <v>8078.5</v>
      </c>
    </row>
    <row r="138" spans="1:7" x14ac:dyDescent="0.25">
      <c r="A138" s="1" t="s">
        <v>44</v>
      </c>
      <c r="B138" s="15">
        <f t="shared" si="2"/>
        <v>5745.16</v>
      </c>
      <c r="C138" s="8"/>
      <c r="D138" s="8"/>
      <c r="E138" s="8"/>
      <c r="F138" s="8"/>
      <c r="G138" s="8">
        <f>1826.92+2009.3+828.94+1080</f>
        <v>5745.16</v>
      </c>
    </row>
    <row r="139" spans="1:7" x14ac:dyDescent="0.25">
      <c r="A139" s="1" t="s">
        <v>125</v>
      </c>
      <c r="B139" s="15">
        <f t="shared" si="2"/>
        <v>900</v>
      </c>
      <c r="C139" s="8"/>
      <c r="D139" s="8"/>
      <c r="E139" s="8"/>
      <c r="F139" s="8"/>
      <c r="G139" s="8">
        <v>900</v>
      </c>
    </row>
    <row r="140" spans="1:7" x14ac:dyDescent="0.25">
      <c r="A140" s="1" t="s">
        <v>196</v>
      </c>
      <c r="B140" s="20">
        <f t="shared" si="2"/>
        <v>950</v>
      </c>
      <c r="C140" s="8"/>
      <c r="D140" s="8">
        <v>950</v>
      </c>
      <c r="E140" s="8"/>
      <c r="F140" s="8"/>
      <c r="G140" s="8"/>
    </row>
    <row r="141" spans="1:7" x14ac:dyDescent="0.25">
      <c r="A141" s="1" t="s">
        <v>11</v>
      </c>
      <c r="B141" s="15">
        <f t="shared" si="2"/>
        <v>20890</v>
      </c>
      <c r="C141" s="8"/>
      <c r="D141" s="8">
        <f>650</f>
        <v>650</v>
      </c>
      <c r="E141" s="8">
        <v>650</v>
      </c>
      <c r="F141" s="8">
        <v>650</v>
      </c>
      <c r="G141" s="8">
        <f>360+720+360+360+360+360+360+360+350+360+360+350+350+1738+650+3182+3360+1300+700+350+650+650+700+650</f>
        <v>18940</v>
      </c>
    </row>
    <row r="142" spans="1:7" x14ac:dyDescent="0.25">
      <c r="A142" s="1" t="s">
        <v>128</v>
      </c>
      <c r="B142" s="15">
        <f t="shared" si="2"/>
        <v>2949</v>
      </c>
      <c r="C142" s="8"/>
      <c r="D142" s="8"/>
      <c r="E142" s="8"/>
      <c r="F142" s="8"/>
      <c r="G142" s="8">
        <f>1499+1450</f>
        <v>2949</v>
      </c>
    </row>
    <row r="143" spans="1:7" x14ac:dyDescent="0.25">
      <c r="A143" s="1" t="s">
        <v>33</v>
      </c>
      <c r="B143" s="15">
        <f t="shared" si="2"/>
        <v>2691</v>
      </c>
      <c r="C143" s="8"/>
      <c r="D143" s="8">
        <f>70</f>
        <v>70</v>
      </c>
      <c r="E143" s="8">
        <f>200+60+26+47+75+53</f>
        <v>461</v>
      </c>
      <c r="F143" s="8">
        <f>45</f>
        <v>45</v>
      </c>
      <c r="G143" s="8">
        <f>88+30+140+53+116+43+242+95+100+52+90+18+41+43+50+35+86+20+35+25+20+55+35+66+37+20+344+45+22+69</f>
        <v>2115</v>
      </c>
    </row>
    <row r="144" spans="1:7" x14ac:dyDescent="0.25">
      <c r="A144" s="1" t="s">
        <v>3</v>
      </c>
      <c r="B144" s="15">
        <f t="shared" si="2"/>
        <v>319348.26</v>
      </c>
      <c r="C144" s="8">
        <f>1686+16060+16060</f>
        <v>33806</v>
      </c>
      <c r="D144" s="8"/>
      <c r="E144" s="8">
        <v>16060</v>
      </c>
      <c r="F144" s="8">
        <v>19060</v>
      </c>
      <c r="G144" s="8">
        <f>13200+13200+13200+13200+13200+13200+13200+13200+16060+282.26+16060+16060+16060+32120+16060+16060+16060</f>
        <v>250422.26</v>
      </c>
    </row>
    <row r="145" spans="1:7" x14ac:dyDescent="0.25">
      <c r="A145" s="8" t="s">
        <v>25</v>
      </c>
      <c r="B145" s="15">
        <f t="shared" si="2"/>
        <v>6176.95</v>
      </c>
      <c r="C145" s="8">
        <v>355</v>
      </c>
      <c r="D145" s="8">
        <v>50</v>
      </c>
      <c r="E145" s="8">
        <f>50+799+717.64+500</f>
        <v>2066.64</v>
      </c>
      <c r="F145" s="8"/>
      <c r="G145" s="8">
        <f>250+54+200+300+300+300+433.77+867.54+500+500</f>
        <v>3705.31</v>
      </c>
    </row>
    <row r="146" spans="1:7" x14ac:dyDescent="0.25">
      <c r="A146" s="8" t="s">
        <v>203</v>
      </c>
      <c r="B146" s="8">
        <f t="shared" si="2"/>
        <v>1050</v>
      </c>
      <c r="C146" s="8"/>
      <c r="D146" s="8">
        <v>700</v>
      </c>
      <c r="E146" s="8">
        <v>350</v>
      </c>
      <c r="F146" s="8"/>
      <c r="G146" s="8"/>
    </row>
    <row r="147" spans="1:7" x14ac:dyDescent="0.25">
      <c r="A147" s="8" t="s">
        <v>58</v>
      </c>
      <c r="B147" s="9">
        <f t="shared" si="2"/>
        <v>35291.279999999999</v>
      </c>
      <c r="C147" s="8"/>
      <c r="D147" s="8"/>
      <c r="E147" s="8"/>
      <c r="F147" s="8"/>
      <c r="G147" s="8">
        <f>20791.2+10800+3700.08</f>
        <v>35291.279999999999</v>
      </c>
    </row>
    <row r="148" spans="1:7" x14ac:dyDescent="0.25">
      <c r="A148" s="8" t="s">
        <v>146</v>
      </c>
      <c r="B148" s="9">
        <f t="shared" si="2"/>
        <v>15200.64</v>
      </c>
      <c r="C148" s="8"/>
      <c r="D148" s="8"/>
      <c r="E148" s="8"/>
      <c r="F148" s="8"/>
      <c r="G148" s="8">
        <v>15200.64</v>
      </c>
    </row>
    <row r="149" spans="1:7" x14ac:dyDescent="0.25">
      <c r="A149" s="8" t="s">
        <v>115</v>
      </c>
      <c r="B149" s="9">
        <f t="shared" si="2"/>
        <v>9957.84</v>
      </c>
      <c r="C149" s="8"/>
      <c r="D149" s="8"/>
      <c r="E149" s="8"/>
      <c r="F149" s="8"/>
      <c r="G149" s="8">
        <f>4247.46+1924.32+334.62+2935.8+515.64</f>
        <v>9957.84</v>
      </c>
    </row>
    <row r="150" spans="1:7" x14ac:dyDescent="0.25">
      <c r="A150" s="8" t="s">
        <v>64</v>
      </c>
      <c r="B150" s="9">
        <f t="shared" si="2"/>
        <v>13095.810000000001</v>
      </c>
      <c r="C150" s="8"/>
      <c r="D150" s="8"/>
      <c r="E150" s="8"/>
      <c r="F150" s="8"/>
      <c r="G150" s="8">
        <f>222.55+2090.04+1901.82+5064.97+2568.42+96+84.6+291+48+728.41</f>
        <v>13095.810000000001</v>
      </c>
    </row>
    <row r="151" spans="1:7" x14ac:dyDescent="0.25">
      <c r="A151" s="8" t="s">
        <v>132</v>
      </c>
      <c r="B151" s="9">
        <f t="shared" si="2"/>
        <v>24345.18</v>
      </c>
      <c r="C151" s="8"/>
      <c r="D151" s="8"/>
      <c r="E151" s="8">
        <v>455.04</v>
      </c>
      <c r="F151" s="8"/>
      <c r="G151" s="8">
        <f>5334.8+1034.96+993.97+1475.53+499.8+98.94+2650.67+405+11396.47</f>
        <v>23890.14</v>
      </c>
    </row>
    <row r="152" spans="1:7" x14ac:dyDescent="0.25">
      <c r="A152" s="8" t="s">
        <v>200</v>
      </c>
      <c r="B152" s="8">
        <f t="shared" si="2"/>
        <v>1820.2</v>
      </c>
      <c r="C152" s="8"/>
      <c r="D152" s="8">
        <v>1820.2</v>
      </c>
      <c r="E152" s="8"/>
      <c r="F152" s="8"/>
      <c r="G152" s="8"/>
    </row>
    <row r="153" spans="1:7" x14ac:dyDescent="0.25">
      <c r="A153" s="8" t="s">
        <v>69</v>
      </c>
      <c r="B153" s="9">
        <f t="shared" si="2"/>
        <v>15066</v>
      </c>
      <c r="C153" s="8"/>
      <c r="D153" s="8"/>
      <c r="E153" s="8"/>
      <c r="F153" s="8"/>
      <c r="G153" s="8">
        <f>10899+4167</f>
        <v>15066</v>
      </c>
    </row>
    <row r="154" spans="1:7" x14ac:dyDescent="0.25">
      <c r="A154" s="8" t="s">
        <v>139</v>
      </c>
      <c r="B154" s="9">
        <f t="shared" si="2"/>
        <v>2820</v>
      </c>
      <c r="C154" s="8"/>
      <c r="D154" s="8"/>
      <c r="E154" s="8"/>
      <c r="F154" s="8"/>
      <c r="G154" s="8">
        <v>2820</v>
      </c>
    </row>
    <row r="155" spans="1:7" x14ac:dyDescent="0.25">
      <c r="A155" s="8" t="s">
        <v>131</v>
      </c>
      <c r="B155" s="9">
        <f t="shared" si="2"/>
        <v>23300</v>
      </c>
      <c r="C155" s="8"/>
      <c r="D155" s="8"/>
      <c r="E155" s="8"/>
      <c r="F155" s="8"/>
      <c r="G155" s="8">
        <f>4000+4000+4000+7300+4000</f>
        <v>23300</v>
      </c>
    </row>
    <row r="156" spans="1:7" x14ac:dyDescent="0.25">
      <c r="A156" s="8" t="s">
        <v>7</v>
      </c>
      <c r="B156" s="9">
        <f t="shared" si="2"/>
        <v>42633.24</v>
      </c>
      <c r="C156" s="8"/>
      <c r="D156" s="8">
        <v>2000</v>
      </c>
      <c r="E156" s="8">
        <v>2000</v>
      </c>
      <c r="F156" s="8"/>
      <c r="G156" s="8">
        <f>1000+1242.24+1500+1500+1500+1500+1500+1500+1265+1200+1500+3300+3300+1500+4346+1500+1500+6480+1500</f>
        <v>38633.24</v>
      </c>
    </row>
    <row r="157" spans="1:7" x14ac:dyDescent="0.25">
      <c r="A157" s="8" t="s">
        <v>16</v>
      </c>
      <c r="B157" s="9">
        <f t="shared" si="2"/>
        <v>66183.100000000006</v>
      </c>
      <c r="C157" s="8"/>
      <c r="D157" s="8"/>
      <c r="E157" s="8">
        <f>767.04+3033.1+2702.8+677.04+1748.51+219.96</f>
        <v>9148.4499999999989</v>
      </c>
      <c r="F157" s="8">
        <f>436.94+652.75</f>
        <v>1089.69</v>
      </c>
      <c r="G157" s="8">
        <f>67.5+941.96+98.28+631.48+196.56+2804.24+1165.26+240.5+6453+17812.6+53.97+284.7+214.56+984.47+1201.49+93.84+178.02+242.89+791.94+321.84+61.98+3602.77+1276.92+61.98+5844.4+1300+77.89+129.53+773.8+3533+378.98+2862+427+594+241.61</f>
        <v>55944.959999999999</v>
      </c>
    </row>
    <row r="158" spans="1:7" x14ac:dyDescent="0.25">
      <c r="A158" s="8" t="s">
        <v>195</v>
      </c>
      <c r="B158" s="8">
        <f t="shared" si="2"/>
        <v>205.8</v>
      </c>
      <c r="C158" s="8"/>
      <c r="D158" s="8">
        <f>205.8</f>
        <v>205.8</v>
      </c>
      <c r="E158" s="8"/>
      <c r="F158" s="8"/>
      <c r="G158" s="8"/>
    </row>
    <row r="159" spans="1:7" x14ac:dyDescent="0.25">
      <c r="A159" s="8" t="s">
        <v>81</v>
      </c>
      <c r="B159" s="9">
        <f t="shared" si="2"/>
        <v>3600</v>
      </c>
      <c r="C159" s="8"/>
      <c r="D159" s="8"/>
      <c r="E159" s="8"/>
      <c r="F159" s="8"/>
      <c r="G159" s="8">
        <f>1800+1800</f>
        <v>3600</v>
      </c>
    </row>
    <row r="160" spans="1:7" x14ac:dyDescent="0.25">
      <c r="A160" s="8" t="s">
        <v>117</v>
      </c>
      <c r="B160" s="9">
        <f t="shared" si="2"/>
        <v>799.2</v>
      </c>
      <c r="C160" s="8"/>
      <c r="D160" s="8"/>
      <c r="E160" s="8"/>
      <c r="F160" s="8"/>
      <c r="G160" s="8">
        <v>799.2</v>
      </c>
    </row>
    <row r="161" spans="1:7" x14ac:dyDescent="0.25">
      <c r="A161" s="8" t="s">
        <v>227</v>
      </c>
      <c r="B161" s="8">
        <f t="shared" si="2"/>
        <v>149.4</v>
      </c>
      <c r="C161" s="8"/>
      <c r="D161" s="8"/>
      <c r="E161" s="8"/>
      <c r="F161" s="8">
        <v>149.4</v>
      </c>
      <c r="G161" s="8"/>
    </row>
    <row r="162" spans="1:7" x14ac:dyDescent="0.25">
      <c r="A162" s="8" t="s">
        <v>220</v>
      </c>
      <c r="B162" s="8">
        <f t="shared" si="2"/>
        <v>1451</v>
      </c>
      <c r="C162" s="8"/>
      <c r="D162" s="8"/>
      <c r="E162" s="8"/>
      <c r="F162" s="8">
        <v>1451</v>
      </c>
      <c r="G162" s="8"/>
    </row>
    <row r="163" spans="1:7" x14ac:dyDescent="0.25">
      <c r="A163" s="8" t="s">
        <v>102</v>
      </c>
      <c r="B163" s="9">
        <f t="shared" si="2"/>
        <v>1635.04</v>
      </c>
      <c r="C163" s="8"/>
      <c r="D163" s="8"/>
      <c r="E163" s="8"/>
      <c r="F163" s="8"/>
      <c r="G163" s="8">
        <f>974.86+660.18</f>
        <v>1635.04</v>
      </c>
    </row>
    <row r="164" spans="1:7" x14ac:dyDescent="0.25">
      <c r="A164" s="8" t="s">
        <v>26</v>
      </c>
      <c r="B164" s="9">
        <f t="shared" si="2"/>
        <v>4790</v>
      </c>
      <c r="C164" s="8"/>
      <c r="D164" s="8"/>
      <c r="E164" s="8"/>
      <c r="F164" s="8"/>
      <c r="G164" s="8">
        <f>790+2500+1500</f>
        <v>4790</v>
      </c>
    </row>
    <row r="165" spans="1:7" x14ac:dyDescent="0.25">
      <c r="A165" s="8" t="s">
        <v>133</v>
      </c>
      <c r="B165" s="9">
        <f t="shared" si="2"/>
        <v>2570</v>
      </c>
      <c r="C165" s="8"/>
      <c r="D165" s="8"/>
      <c r="E165" s="8"/>
      <c r="F165" s="8"/>
      <c r="G165" s="8">
        <v>2570</v>
      </c>
    </row>
    <row r="166" spans="1:7" x14ac:dyDescent="0.25">
      <c r="A166" s="8" t="s">
        <v>110</v>
      </c>
      <c r="B166" s="9">
        <f t="shared" si="2"/>
        <v>7500</v>
      </c>
      <c r="C166" s="8"/>
      <c r="D166" s="8"/>
      <c r="E166" s="8"/>
      <c r="F166" s="8"/>
      <c r="G166" s="8">
        <v>7500</v>
      </c>
    </row>
    <row r="167" spans="1:7" x14ac:dyDescent="0.25">
      <c r="A167" s="8" t="s">
        <v>228</v>
      </c>
      <c r="B167" s="8">
        <f t="shared" si="2"/>
        <v>6600</v>
      </c>
      <c r="C167" s="8"/>
      <c r="D167" s="8"/>
      <c r="E167" s="8"/>
      <c r="F167" s="8">
        <v>6600</v>
      </c>
      <c r="G167" s="8"/>
    </row>
    <row r="168" spans="1:7" x14ac:dyDescent="0.25">
      <c r="A168" s="8" t="s">
        <v>68</v>
      </c>
      <c r="B168" s="9">
        <f t="shared" si="2"/>
        <v>900</v>
      </c>
      <c r="C168" s="8"/>
      <c r="D168" s="8"/>
      <c r="E168" s="8"/>
      <c r="F168" s="8"/>
      <c r="G168" s="8">
        <v>900</v>
      </c>
    </row>
    <row r="169" spans="1:7" x14ac:dyDescent="0.25">
      <c r="A169" s="8" t="s">
        <v>212</v>
      </c>
      <c r="B169" s="8">
        <f t="shared" si="2"/>
        <v>2285</v>
      </c>
      <c r="C169" s="8"/>
      <c r="D169" s="8"/>
      <c r="E169" s="8">
        <v>2285</v>
      </c>
      <c r="F169" s="8"/>
      <c r="G169" s="8"/>
    </row>
    <row r="170" spans="1:7" x14ac:dyDescent="0.25">
      <c r="A170" s="8" t="s">
        <v>185</v>
      </c>
      <c r="B170" s="8">
        <f t="shared" si="2"/>
        <v>7180.2</v>
      </c>
      <c r="C170" s="8">
        <v>7180.2</v>
      </c>
      <c r="D170" s="8"/>
      <c r="E170" s="8"/>
      <c r="F170" s="8"/>
      <c r="G170" s="8"/>
    </row>
    <row r="171" spans="1:7" x14ac:dyDescent="0.25">
      <c r="A171" s="8" t="s">
        <v>66</v>
      </c>
      <c r="B171" s="9">
        <f t="shared" si="2"/>
        <v>4698</v>
      </c>
      <c r="C171" s="8"/>
      <c r="D171" s="8"/>
      <c r="E171" s="8"/>
      <c r="F171" s="8"/>
      <c r="G171" s="8">
        <v>4698</v>
      </c>
    </row>
    <row r="172" spans="1:7" x14ac:dyDescent="0.25">
      <c r="A172" s="8" t="s">
        <v>80</v>
      </c>
      <c r="B172" s="9">
        <f t="shared" si="2"/>
        <v>2899</v>
      </c>
      <c r="C172" s="8"/>
      <c r="D172" s="8"/>
      <c r="E172" s="8"/>
      <c r="F172" s="8"/>
      <c r="G172" s="8">
        <v>2899</v>
      </c>
    </row>
    <row r="173" spans="1:7" x14ac:dyDescent="0.25">
      <c r="A173" s="8" t="s">
        <v>123</v>
      </c>
      <c r="B173" s="9">
        <f t="shared" si="2"/>
        <v>3212.58</v>
      </c>
      <c r="C173" s="8"/>
      <c r="D173" s="8">
        <v>2492.58</v>
      </c>
      <c r="E173" s="8"/>
      <c r="F173" s="8"/>
      <c r="G173" s="8">
        <v>720</v>
      </c>
    </row>
    <row r="174" spans="1:7" x14ac:dyDescent="0.25">
      <c r="A174" s="8" t="s">
        <v>141</v>
      </c>
      <c r="B174" s="9">
        <f t="shared" si="2"/>
        <v>2913.06</v>
      </c>
      <c r="C174" s="8"/>
      <c r="D174" s="8"/>
      <c r="E174" s="8"/>
      <c r="F174" s="8"/>
      <c r="G174" s="8">
        <v>2913.06</v>
      </c>
    </row>
    <row r="175" spans="1:7" x14ac:dyDescent="0.25">
      <c r="A175" s="8" t="s">
        <v>208</v>
      </c>
      <c r="B175" s="8">
        <f t="shared" si="2"/>
        <v>2300.4</v>
      </c>
      <c r="C175" s="8"/>
      <c r="D175" s="8"/>
      <c r="E175" s="8">
        <v>2300.4</v>
      </c>
      <c r="F175" s="8"/>
      <c r="G175" s="8"/>
    </row>
    <row r="176" spans="1:7" x14ac:dyDescent="0.25">
      <c r="A176" s="8" t="s">
        <v>50</v>
      </c>
      <c r="B176" s="9">
        <f t="shared" si="2"/>
        <v>3000</v>
      </c>
      <c r="C176" s="8"/>
      <c r="D176" s="8"/>
      <c r="E176" s="8"/>
      <c r="F176" s="8"/>
      <c r="G176" s="8">
        <v>3000</v>
      </c>
    </row>
    <row r="177" spans="1:7" x14ac:dyDescent="0.25">
      <c r="A177" s="8" t="s">
        <v>182</v>
      </c>
      <c r="B177" s="8">
        <f t="shared" si="2"/>
        <v>1089</v>
      </c>
      <c r="C177" s="8">
        <v>1089</v>
      </c>
      <c r="D177" s="8"/>
      <c r="E177" s="8"/>
      <c r="F177" s="8"/>
      <c r="G177" s="8"/>
    </row>
    <row r="178" spans="1:7" x14ac:dyDescent="0.25">
      <c r="A178" s="8" t="s">
        <v>39</v>
      </c>
      <c r="B178" s="9">
        <f t="shared" si="2"/>
        <v>24840</v>
      </c>
      <c r="C178" s="8"/>
      <c r="D178" s="8"/>
      <c r="E178" s="8"/>
      <c r="F178" s="8"/>
      <c r="G178" s="8">
        <v>24840</v>
      </c>
    </row>
    <row r="179" spans="1:7" x14ac:dyDescent="0.25">
      <c r="A179" s="8" t="s">
        <v>189</v>
      </c>
      <c r="B179" s="8">
        <f t="shared" si="2"/>
        <v>252</v>
      </c>
      <c r="C179" s="8">
        <v>252</v>
      </c>
      <c r="D179" s="8"/>
      <c r="E179" s="8"/>
      <c r="F179" s="8"/>
      <c r="G179" s="8"/>
    </row>
    <row r="180" spans="1:7" x14ac:dyDescent="0.25">
      <c r="A180" s="8" t="s">
        <v>119</v>
      </c>
      <c r="B180" s="9">
        <f t="shared" si="2"/>
        <v>803.1</v>
      </c>
      <c r="C180" s="8"/>
      <c r="D180" s="8"/>
      <c r="E180" s="8"/>
      <c r="F180" s="8"/>
      <c r="G180" s="8">
        <v>803.1</v>
      </c>
    </row>
    <row r="181" spans="1:7" x14ac:dyDescent="0.25">
      <c r="A181" s="8" t="s">
        <v>85</v>
      </c>
      <c r="B181" s="9">
        <f t="shared" si="2"/>
        <v>1921</v>
      </c>
      <c r="C181" s="8"/>
      <c r="D181" s="8"/>
      <c r="E181" s="8"/>
      <c r="F181" s="8"/>
      <c r="G181" s="8">
        <f>858+1063</f>
        <v>1921</v>
      </c>
    </row>
    <row r="182" spans="1:7" x14ac:dyDescent="0.25">
      <c r="A182" s="8" t="s">
        <v>179</v>
      </c>
      <c r="B182" s="8">
        <f t="shared" si="2"/>
        <v>13650</v>
      </c>
      <c r="C182" s="8">
        <v>13650</v>
      </c>
      <c r="D182" s="8"/>
      <c r="E182" s="8"/>
      <c r="F182" s="8"/>
      <c r="G182" s="8"/>
    </row>
    <row r="183" spans="1:7" x14ac:dyDescent="0.25">
      <c r="A183" s="8" t="s">
        <v>90</v>
      </c>
      <c r="B183" s="9">
        <f t="shared" si="2"/>
        <v>2940.95</v>
      </c>
      <c r="C183" s="8"/>
      <c r="D183" s="8"/>
      <c r="E183" s="8"/>
      <c r="F183" s="8"/>
      <c r="G183" s="8">
        <v>2940.95</v>
      </c>
    </row>
    <row r="184" spans="1:7" x14ac:dyDescent="0.25">
      <c r="A184" s="8" t="s">
        <v>77</v>
      </c>
      <c r="B184" s="9">
        <f t="shared" si="2"/>
        <v>390.76</v>
      </c>
      <c r="C184" s="8"/>
      <c r="D184" s="8"/>
      <c r="E184" s="8"/>
      <c r="F184" s="8"/>
      <c r="G184" s="8">
        <v>390.76</v>
      </c>
    </row>
    <row r="185" spans="1:7" x14ac:dyDescent="0.25">
      <c r="A185" s="8" t="s">
        <v>175</v>
      </c>
      <c r="B185" s="8">
        <f t="shared" si="2"/>
        <v>11800</v>
      </c>
      <c r="C185" s="8">
        <v>11800</v>
      </c>
      <c r="D185" s="8"/>
      <c r="E185" s="8"/>
      <c r="F185" s="8"/>
      <c r="G185" s="8"/>
    </row>
    <row r="186" spans="1:7" x14ac:dyDescent="0.25">
      <c r="A186" s="8" t="s">
        <v>105</v>
      </c>
      <c r="B186" s="9">
        <f t="shared" si="2"/>
        <v>2928</v>
      </c>
      <c r="C186" s="8"/>
      <c r="D186" s="8"/>
      <c r="E186" s="8"/>
      <c r="F186" s="8"/>
      <c r="G186" s="8">
        <v>2928</v>
      </c>
    </row>
    <row r="187" spans="1:7" x14ac:dyDescent="0.25">
      <c r="A187" s="8" t="s">
        <v>35</v>
      </c>
      <c r="B187" s="9">
        <f t="shared" si="2"/>
        <v>191.76</v>
      </c>
      <c r="C187" s="8"/>
      <c r="D187" s="8"/>
      <c r="E187" s="8"/>
      <c r="F187" s="8"/>
      <c r="G187" s="8">
        <v>191.76</v>
      </c>
    </row>
    <row r="188" spans="1:7" x14ac:dyDescent="0.25">
      <c r="A188" s="8" t="s">
        <v>191</v>
      </c>
      <c r="B188" s="8">
        <f t="shared" si="2"/>
        <v>1107</v>
      </c>
      <c r="C188" s="8"/>
      <c r="D188" s="8">
        <v>1107</v>
      </c>
      <c r="E188" s="8"/>
      <c r="F188" s="8"/>
      <c r="G188" s="8"/>
    </row>
    <row r="189" spans="1:7" x14ac:dyDescent="0.25">
      <c r="A189" s="8" t="s">
        <v>124</v>
      </c>
      <c r="B189" s="9">
        <f t="shared" si="2"/>
        <v>12285.810000000001</v>
      </c>
      <c r="C189" s="8"/>
      <c r="D189" s="8"/>
      <c r="E189" s="8"/>
      <c r="F189" s="8"/>
      <c r="G189" s="8">
        <f>2319.6+63.5+490.55+298.08+1121.52+6841.5+217.1+933.96</f>
        <v>12285.810000000001</v>
      </c>
    </row>
    <row r="190" spans="1:7" x14ac:dyDescent="0.25">
      <c r="A190" s="8" t="s">
        <v>87</v>
      </c>
      <c r="B190" s="9">
        <f t="shared" si="2"/>
        <v>475</v>
      </c>
      <c r="C190" s="8"/>
      <c r="D190" s="8"/>
      <c r="E190" s="8"/>
      <c r="F190" s="8"/>
      <c r="G190" s="8">
        <v>475</v>
      </c>
    </row>
    <row r="191" spans="1:7" x14ac:dyDescent="0.25">
      <c r="A191" s="8" t="s">
        <v>129</v>
      </c>
      <c r="B191" s="9">
        <f t="shared" si="2"/>
        <v>336</v>
      </c>
      <c r="C191" s="8"/>
      <c r="D191" s="8"/>
      <c r="E191" s="8"/>
      <c r="F191" s="8"/>
      <c r="G191" s="8">
        <v>336</v>
      </c>
    </row>
    <row r="192" spans="1:7" x14ac:dyDescent="0.25">
      <c r="A192" s="8" t="s">
        <v>222</v>
      </c>
      <c r="B192" s="8">
        <f t="shared" si="2"/>
        <v>2167.0500000000002</v>
      </c>
      <c r="C192" s="8"/>
      <c r="D192" s="8"/>
      <c r="E192" s="8"/>
      <c r="F192" s="8">
        <v>2167.0500000000002</v>
      </c>
      <c r="G192" s="8"/>
    </row>
    <row r="193" spans="1:7" x14ac:dyDescent="0.25">
      <c r="A193" s="8" t="s">
        <v>95</v>
      </c>
      <c r="B193" s="9">
        <f t="shared" si="2"/>
        <v>575</v>
      </c>
      <c r="C193" s="8"/>
      <c r="D193" s="8"/>
      <c r="E193" s="8"/>
      <c r="F193" s="8"/>
      <c r="G193" s="8">
        <v>575</v>
      </c>
    </row>
    <row r="194" spans="1:7" x14ac:dyDescent="0.25">
      <c r="A194" s="8" t="s">
        <v>72</v>
      </c>
      <c r="B194" s="9">
        <f t="shared" si="2"/>
        <v>569.48</v>
      </c>
      <c r="C194" s="8"/>
      <c r="D194" s="8"/>
      <c r="E194" s="8"/>
      <c r="F194" s="8"/>
      <c r="G194" s="8">
        <v>569.48</v>
      </c>
    </row>
    <row r="195" spans="1:7" x14ac:dyDescent="0.25">
      <c r="A195" s="8" t="s">
        <v>166</v>
      </c>
      <c r="B195" s="8">
        <f t="shared" ref="B195:B211" si="3">SUM(C195:G195)</f>
        <v>15915.98</v>
      </c>
      <c r="C195" s="8">
        <f>10211.54+2455.14</f>
        <v>12666.68</v>
      </c>
      <c r="D195" s="8">
        <v>3249.3</v>
      </c>
      <c r="E195" s="8"/>
      <c r="F195" s="8"/>
      <c r="G195" s="8"/>
    </row>
    <row r="196" spans="1:7" x14ac:dyDescent="0.25">
      <c r="A196" s="8" t="s">
        <v>207</v>
      </c>
      <c r="B196" s="8">
        <f t="shared" si="3"/>
        <v>591.55999999999995</v>
      </c>
      <c r="C196" s="8"/>
      <c r="D196" s="8"/>
      <c r="E196" s="8">
        <v>591.55999999999995</v>
      </c>
      <c r="F196" s="8"/>
      <c r="G196" s="8"/>
    </row>
    <row r="197" spans="1:7" x14ac:dyDescent="0.25">
      <c r="A197" s="8" t="s">
        <v>114</v>
      </c>
      <c r="B197" s="9">
        <f t="shared" si="3"/>
        <v>3076</v>
      </c>
      <c r="C197" s="8"/>
      <c r="D197" s="8"/>
      <c r="E197" s="8">
        <f>450</f>
        <v>450</v>
      </c>
      <c r="F197" s="8">
        <v>360</v>
      </c>
      <c r="G197" s="8">
        <f>1355+911</f>
        <v>2266</v>
      </c>
    </row>
    <row r="198" spans="1:7" x14ac:dyDescent="0.25">
      <c r="A198" s="8" t="s">
        <v>192</v>
      </c>
      <c r="B198" s="8">
        <f t="shared" si="3"/>
        <v>490.2</v>
      </c>
      <c r="C198" s="8"/>
      <c r="D198" s="8">
        <v>490.2</v>
      </c>
      <c r="E198" s="8"/>
      <c r="F198" s="8"/>
      <c r="G198" s="8"/>
    </row>
    <row r="199" spans="1:7" x14ac:dyDescent="0.25">
      <c r="A199" s="8" t="s">
        <v>199</v>
      </c>
      <c r="B199" s="8">
        <f t="shared" si="3"/>
        <v>8581.2000000000007</v>
      </c>
      <c r="C199" s="8"/>
      <c r="D199" s="8">
        <v>1770</v>
      </c>
      <c r="E199" s="8"/>
      <c r="F199" s="8">
        <v>6811.2</v>
      </c>
      <c r="G199" s="8"/>
    </row>
    <row r="200" spans="1:7" x14ac:dyDescent="0.25">
      <c r="A200" s="8" t="s">
        <v>104</v>
      </c>
      <c r="B200" s="9">
        <f t="shared" si="3"/>
        <v>1806.4</v>
      </c>
      <c r="C200" s="8"/>
      <c r="D200" s="8"/>
      <c r="E200" s="8"/>
      <c r="F200" s="8"/>
      <c r="G200" s="8">
        <v>1806.4</v>
      </c>
    </row>
    <row r="201" spans="1:7" x14ac:dyDescent="0.25">
      <c r="A201" s="8" t="s">
        <v>5</v>
      </c>
      <c r="B201" s="9">
        <f t="shared" si="3"/>
        <v>46053.500000000007</v>
      </c>
      <c r="C201" s="8">
        <f>1911.72+970+1314.3</f>
        <v>4196.0200000000004</v>
      </c>
      <c r="D201" s="8">
        <f>289.68+39+406+121.62-5.01</f>
        <v>851.29000000000008</v>
      </c>
      <c r="E201" s="8">
        <f>601.68</f>
        <v>601.67999999999995</v>
      </c>
      <c r="F201" s="8">
        <f>622.5+345.28+795.08</f>
        <v>1762.8600000000001</v>
      </c>
      <c r="G201" s="8">
        <f>1605.15+1208.72+1295.16+390.45+14.41+111.75+702.72+1365.68+1146.14+299.41+84.1+96.24+48.6+329.22+142+1571.4+1002.47+904.21+60.84+78.96+995+134.03+955.75+800+165.2+698.51+487.45+271.5+249+105+100.44+374.01+99.29+403.48+162.52+4141+11138.52+248.4+1975.91+100+1156.15+919.82+323.23+179.81</f>
        <v>38641.650000000009</v>
      </c>
    </row>
    <row r="202" spans="1:7" x14ac:dyDescent="0.25">
      <c r="A202" s="8" t="s">
        <v>45</v>
      </c>
      <c r="B202" s="9">
        <f t="shared" si="3"/>
        <v>1200</v>
      </c>
      <c r="C202" s="8"/>
      <c r="D202" s="8"/>
      <c r="E202" s="8"/>
      <c r="F202" s="8"/>
      <c r="G202" s="8">
        <v>1200</v>
      </c>
    </row>
    <row r="203" spans="1:7" x14ac:dyDescent="0.25">
      <c r="A203" s="8" t="s">
        <v>96</v>
      </c>
      <c r="B203" s="9">
        <f t="shared" si="3"/>
        <v>15950</v>
      </c>
      <c r="C203" s="8"/>
      <c r="D203" s="8"/>
      <c r="E203" s="8"/>
      <c r="F203" s="8"/>
      <c r="G203" s="8">
        <v>15950</v>
      </c>
    </row>
    <row r="204" spans="1:7" x14ac:dyDescent="0.25">
      <c r="A204" s="8" t="s">
        <v>37</v>
      </c>
      <c r="B204" s="9">
        <f t="shared" si="3"/>
        <v>2999.16</v>
      </c>
      <c r="C204" s="8"/>
      <c r="D204" s="8"/>
      <c r="E204" s="8"/>
      <c r="F204" s="8"/>
      <c r="G204" s="8">
        <v>2999.16</v>
      </c>
    </row>
    <row r="205" spans="1:7" x14ac:dyDescent="0.25">
      <c r="A205" s="8" t="s">
        <v>89</v>
      </c>
      <c r="B205" s="9">
        <f t="shared" si="3"/>
        <v>4681.0300000000007</v>
      </c>
      <c r="C205" s="8"/>
      <c r="D205" s="8"/>
      <c r="E205" s="8"/>
      <c r="F205" s="8"/>
      <c r="G205" s="8">
        <f>2013.67+967.11+1700.25</f>
        <v>4681.0300000000007</v>
      </c>
    </row>
    <row r="206" spans="1:7" x14ac:dyDescent="0.25">
      <c r="A206" s="8" t="s">
        <v>70</v>
      </c>
      <c r="B206" s="9">
        <f t="shared" si="3"/>
        <v>7832</v>
      </c>
      <c r="C206" s="8"/>
      <c r="D206" s="8"/>
      <c r="E206" s="8"/>
      <c r="F206" s="8"/>
      <c r="G206" s="8">
        <v>7832</v>
      </c>
    </row>
    <row r="207" spans="1:7" x14ac:dyDescent="0.25">
      <c r="A207" s="8" t="s">
        <v>177</v>
      </c>
      <c r="B207" s="8">
        <f t="shared" si="3"/>
        <v>19200</v>
      </c>
      <c r="C207" s="8">
        <v>19200</v>
      </c>
      <c r="D207" s="8"/>
      <c r="E207" s="8"/>
      <c r="F207" s="8"/>
      <c r="G207" s="8"/>
    </row>
    <row r="208" spans="1:7" x14ac:dyDescent="0.25">
      <c r="A208" s="8" t="s">
        <v>137</v>
      </c>
      <c r="B208" s="9">
        <f t="shared" si="3"/>
        <v>1496.81</v>
      </c>
      <c r="C208" s="8"/>
      <c r="D208" s="8"/>
      <c r="E208" s="8"/>
      <c r="F208" s="8"/>
      <c r="G208" s="8">
        <v>1496.81</v>
      </c>
    </row>
    <row r="209" spans="1:7" x14ac:dyDescent="0.25">
      <c r="A209" s="8" t="s">
        <v>202</v>
      </c>
      <c r="B209" s="8">
        <f t="shared" si="3"/>
        <v>3680</v>
      </c>
      <c r="C209" s="8"/>
      <c r="D209" s="8">
        <v>3680</v>
      </c>
      <c r="E209" s="8"/>
      <c r="F209" s="8"/>
      <c r="G209" s="8"/>
    </row>
    <row r="210" spans="1:7" x14ac:dyDescent="0.25">
      <c r="A210" s="8" t="s">
        <v>42</v>
      </c>
      <c r="B210" s="9">
        <f t="shared" si="3"/>
        <v>7029.76</v>
      </c>
      <c r="C210" s="8"/>
      <c r="D210" s="8"/>
      <c r="E210" s="8"/>
      <c r="F210" s="8">
        <v>714.76</v>
      </c>
      <c r="G210" s="8">
        <v>6315</v>
      </c>
    </row>
    <row r="211" spans="1:7" ht="15.75" thickBot="1" x14ac:dyDescent="0.3">
      <c r="A211" s="8" t="s">
        <v>101</v>
      </c>
      <c r="B211" s="9">
        <f t="shared" si="3"/>
        <v>342.5</v>
      </c>
      <c r="C211" s="8"/>
      <c r="D211" s="8"/>
      <c r="E211" s="8"/>
      <c r="F211" s="8"/>
      <c r="G211" s="8">
        <v>342.5</v>
      </c>
    </row>
    <row r="212" spans="1:7" hidden="1" x14ac:dyDescent="0.25">
      <c r="A212" s="13"/>
      <c r="B212" s="16"/>
      <c r="C212" s="11"/>
      <c r="D212" s="11"/>
      <c r="E212" s="11"/>
      <c r="F212" s="11"/>
    </row>
    <row r="213" spans="1:7" hidden="1" x14ac:dyDescent="0.25">
      <c r="A213" s="13"/>
      <c r="B213" s="16"/>
      <c r="C213" s="11"/>
      <c r="D213" s="11"/>
      <c r="E213" s="11"/>
      <c r="F213" s="11"/>
    </row>
    <row r="214" spans="1:7" hidden="1" x14ac:dyDescent="0.25">
      <c r="A214" s="13"/>
      <c r="B214" s="16"/>
      <c r="C214" s="11"/>
      <c r="D214" s="11"/>
      <c r="E214" s="11"/>
      <c r="F214" s="11"/>
    </row>
    <row r="215" spans="1:7" hidden="1" x14ac:dyDescent="0.25">
      <c r="A215" s="13"/>
      <c r="B215" s="16"/>
      <c r="C215" s="11"/>
      <c r="D215" s="11"/>
      <c r="E215" s="11"/>
      <c r="F215" s="11"/>
    </row>
    <row r="216" spans="1:7" hidden="1" x14ac:dyDescent="0.25">
      <c r="A216" s="13"/>
      <c r="B216" s="16"/>
      <c r="C216" s="11"/>
      <c r="D216" s="11"/>
      <c r="E216" s="11"/>
      <c r="F216" s="11"/>
    </row>
    <row r="217" spans="1:7" ht="15.75" hidden="1" thickBot="1" x14ac:dyDescent="0.3">
      <c r="A217" s="13"/>
      <c r="B217" s="16">
        <f t="shared" ref="B217" si="4">SUM(C217:F217)</f>
        <v>0</v>
      </c>
      <c r="C217" s="11"/>
      <c r="D217" s="11"/>
      <c r="E217" s="11"/>
      <c r="F217" s="11"/>
    </row>
    <row r="218" spans="1:7" ht="15.75" thickBot="1" x14ac:dyDescent="0.3">
      <c r="A218" s="3" t="s">
        <v>148</v>
      </c>
      <c r="B218" s="10">
        <f>SUM(B3:B217)</f>
        <v>2920084.55</v>
      </c>
      <c r="C218" s="10">
        <f t="shared" ref="C218:G218" si="5">SUM(C3:C217)</f>
        <v>408873.67000000004</v>
      </c>
      <c r="D218" s="10">
        <f t="shared" si="5"/>
        <v>76945.259999999995</v>
      </c>
      <c r="E218" s="10">
        <f t="shared" si="5"/>
        <v>117529.72</v>
      </c>
      <c r="F218" s="10">
        <f t="shared" si="5"/>
        <v>156543.26999999999</v>
      </c>
      <c r="G218" s="10">
        <f t="shared" si="5"/>
        <v>2160192.63</v>
      </c>
    </row>
  </sheetData>
  <sortState ref="A3:G211">
    <sortCondition ref="A3"/>
  </sortState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workbookViewId="0">
      <selection activeCell="B195" sqref="B195"/>
    </sheetView>
  </sheetViews>
  <sheetFormatPr defaultColWidth="8.85546875" defaultRowHeight="15" x14ac:dyDescent="0.25"/>
  <cols>
    <col min="1" max="1" width="42.28515625" customWidth="1"/>
    <col min="2" max="2" width="19.140625" customWidth="1"/>
    <col min="3" max="3" width="16.42578125" customWidth="1"/>
    <col min="4" max="4" width="14.85546875" customWidth="1"/>
    <col min="5" max="5" width="14.7109375" customWidth="1"/>
  </cols>
  <sheetData>
    <row r="1" spans="1:5" ht="54" customHeight="1" thickBot="1" x14ac:dyDescent="0.3">
      <c r="A1" s="150" t="s">
        <v>302</v>
      </c>
      <c r="B1" s="150"/>
      <c r="C1" s="150"/>
      <c r="D1" s="150"/>
      <c r="E1" s="150"/>
    </row>
    <row r="2" spans="1:5" ht="57" thickBot="1" x14ac:dyDescent="0.3">
      <c r="A2" s="44" t="s">
        <v>301</v>
      </c>
      <c r="B2" s="45" t="s">
        <v>303</v>
      </c>
      <c r="C2" s="45" t="s">
        <v>22</v>
      </c>
      <c r="D2" s="45" t="s">
        <v>237</v>
      </c>
      <c r="E2" s="46" t="s">
        <v>1</v>
      </c>
    </row>
    <row r="3" spans="1:5" ht="13.5" hidden="1" customHeight="1" x14ac:dyDescent="0.25">
      <c r="A3" s="33" t="s">
        <v>190</v>
      </c>
      <c r="B3" s="38">
        <f>86432.02+19015.05</f>
        <v>105447.07</v>
      </c>
      <c r="C3" s="5">
        <f>3800+3800+3800+3800+3800+3800+3800+3800+3800+3800+7600+9955+10400+5200+5200</f>
        <v>76355</v>
      </c>
      <c r="D3" s="5">
        <f>333.2+412.47+791.06+128.74+382.61+502.64+605.25+498.89+533.75+386.64+2931.66</f>
        <v>7506.91</v>
      </c>
      <c r="E3" s="39"/>
    </row>
    <row r="4" spans="1:5" ht="23.1" customHeight="1" x14ac:dyDescent="0.3">
      <c r="A4" s="35" t="s">
        <v>158</v>
      </c>
      <c r="B4" s="47">
        <v>3728.92</v>
      </c>
      <c r="C4" s="48">
        <v>0</v>
      </c>
      <c r="D4" s="48">
        <v>193.44</v>
      </c>
      <c r="E4" s="49">
        <f>SUM(B4:D4)</f>
        <v>3922.36</v>
      </c>
    </row>
    <row r="5" spans="1:5" ht="18.75" x14ac:dyDescent="0.3">
      <c r="A5" s="35" t="s">
        <v>159</v>
      </c>
      <c r="B5" s="47">
        <v>8792.36</v>
      </c>
      <c r="C5" s="48">
        <v>7600</v>
      </c>
      <c r="D5" s="48">
        <v>506.15</v>
      </c>
      <c r="E5" s="49">
        <f t="shared" ref="E5:E68" si="0">SUM(B5:D5)</f>
        <v>16898.510000000002</v>
      </c>
    </row>
    <row r="6" spans="1:5" ht="18.75" x14ac:dyDescent="0.3">
      <c r="A6" s="35" t="s">
        <v>149</v>
      </c>
      <c r="B6" s="47">
        <v>7276.84</v>
      </c>
      <c r="C6" s="48">
        <v>9955</v>
      </c>
      <c r="D6" s="48">
        <v>985.84</v>
      </c>
      <c r="E6" s="49">
        <f t="shared" si="0"/>
        <v>18217.68</v>
      </c>
    </row>
    <row r="7" spans="1:5" ht="18.75" x14ac:dyDescent="0.3">
      <c r="A7" s="35" t="s">
        <v>160</v>
      </c>
      <c r="B7" s="47">
        <v>7933.21</v>
      </c>
      <c r="C7" s="48">
        <v>10400</v>
      </c>
      <c r="D7" s="48">
        <v>517.52</v>
      </c>
      <c r="E7" s="49">
        <f t="shared" si="0"/>
        <v>18850.73</v>
      </c>
    </row>
    <row r="8" spans="1:5" ht="18.75" x14ac:dyDescent="0.3">
      <c r="A8" s="35" t="s">
        <v>150</v>
      </c>
      <c r="B8" s="47">
        <v>6776.62</v>
      </c>
      <c r="C8" s="48">
        <v>5200</v>
      </c>
      <c r="D8" s="48">
        <v>172.37</v>
      </c>
      <c r="E8" s="49">
        <f t="shared" si="0"/>
        <v>12148.99</v>
      </c>
    </row>
    <row r="9" spans="1:5" ht="18.75" x14ac:dyDescent="0.3">
      <c r="A9" s="35" t="s">
        <v>151</v>
      </c>
      <c r="B9" s="47">
        <v>8680.2000000000007</v>
      </c>
      <c r="C9" s="48">
        <v>5200</v>
      </c>
      <c r="D9" s="48">
        <v>590.13</v>
      </c>
      <c r="E9" s="49">
        <f t="shared" si="0"/>
        <v>14470.33</v>
      </c>
    </row>
    <row r="10" spans="1:5" ht="18.75" x14ac:dyDescent="0.3">
      <c r="A10" s="35" t="s">
        <v>152</v>
      </c>
      <c r="B10" s="50">
        <v>11675.01</v>
      </c>
      <c r="C10" s="50">
        <v>5200</v>
      </c>
      <c r="D10" s="50">
        <v>637.36</v>
      </c>
      <c r="E10" s="49">
        <f t="shared" si="0"/>
        <v>17512.370000000003</v>
      </c>
    </row>
    <row r="11" spans="1:5" ht="21" customHeight="1" x14ac:dyDescent="0.3">
      <c r="A11" s="35" t="s">
        <v>153</v>
      </c>
      <c r="B11" s="47">
        <f>3911.06</f>
        <v>3911.06</v>
      </c>
      <c r="C11" s="47">
        <v>0</v>
      </c>
      <c r="D11" s="47">
        <v>183.5</v>
      </c>
      <c r="E11" s="49">
        <f t="shared" si="0"/>
        <v>4094.56</v>
      </c>
    </row>
    <row r="12" spans="1:5" ht="18.75" x14ac:dyDescent="0.3">
      <c r="A12" s="35" t="s">
        <v>154</v>
      </c>
      <c r="B12" s="47">
        <v>7880.32</v>
      </c>
      <c r="C12" s="47">
        <v>13000</v>
      </c>
      <c r="D12" s="47">
        <v>491.06</v>
      </c>
      <c r="E12" s="49">
        <f t="shared" si="0"/>
        <v>21371.38</v>
      </c>
    </row>
    <row r="13" spans="1:5" ht="21.95" customHeight="1" x14ac:dyDescent="0.3">
      <c r="A13" s="35" t="s">
        <v>155</v>
      </c>
      <c r="B13" s="47">
        <v>11818.81</v>
      </c>
      <c r="C13" s="47">
        <v>6500</v>
      </c>
      <c r="D13" s="47">
        <v>622.55999999999995</v>
      </c>
      <c r="E13" s="49">
        <f t="shared" si="0"/>
        <v>18941.37</v>
      </c>
    </row>
    <row r="14" spans="1:5" ht="18.75" hidden="1" x14ac:dyDescent="0.3">
      <c r="A14" s="35"/>
      <c r="B14" s="47"/>
      <c r="C14" s="47"/>
      <c r="D14" s="47"/>
      <c r="E14" s="49">
        <f t="shared" si="0"/>
        <v>0</v>
      </c>
    </row>
    <row r="15" spans="1:5" ht="18.75" hidden="1" x14ac:dyDescent="0.3">
      <c r="A15" s="35"/>
      <c r="B15" s="47"/>
      <c r="C15" s="47"/>
      <c r="D15" s="47"/>
      <c r="E15" s="49">
        <f t="shared" si="0"/>
        <v>0</v>
      </c>
    </row>
    <row r="16" spans="1:5" ht="18.75" hidden="1" x14ac:dyDescent="0.3">
      <c r="A16" s="35"/>
      <c r="B16" s="47"/>
      <c r="C16" s="47"/>
      <c r="D16" s="47"/>
      <c r="E16" s="49">
        <f t="shared" si="0"/>
        <v>0</v>
      </c>
    </row>
    <row r="17" spans="1:5" ht="18.75" hidden="1" x14ac:dyDescent="0.3">
      <c r="A17" s="35"/>
      <c r="B17" s="47"/>
      <c r="C17" s="47"/>
      <c r="D17" s="47"/>
      <c r="E17" s="49">
        <f t="shared" si="0"/>
        <v>0</v>
      </c>
    </row>
    <row r="18" spans="1:5" ht="18.75" hidden="1" x14ac:dyDescent="0.3">
      <c r="A18" s="35"/>
      <c r="B18" s="47"/>
      <c r="C18" s="47"/>
      <c r="D18" s="47"/>
      <c r="E18" s="49">
        <f t="shared" si="0"/>
        <v>0</v>
      </c>
    </row>
    <row r="19" spans="1:5" ht="18.75" hidden="1" x14ac:dyDescent="0.3">
      <c r="A19" s="35"/>
      <c r="B19" s="47"/>
      <c r="C19" s="47"/>
      <c r="D19" s="47"/>
      <c r="E19" s="49">
        <f t="shared" si="0"/>
        <v>0</v>
      </c>
    </row>
    <row r="20" spans="1:5" ht="18.75" hidden="1" x14ac:dyDescent="0.3">
      <c r="A20" s="35"/>
      <c r="B20" s="47"/>
      <c r="C20" s="47"/>
      <c r="D20" s="47"/>
      <c r="E20" s="49">
        <f t="shared" si="0"/>
        <v>0</v>
      </c>
    </row>
    <row r="21" spans="1:5" ht="18.75" hidden="1" x14ac:dyDescent="0.3">
      <c r="A21" s="35"/>
      <c r="B21" s="47"/>
      <c r="C21" s="47"/>
      <c r="D21" s="47"/>
      <c r="E21" s="49">
        <f t="shared" si="0"/>
        <v>0</v>
      </c>
    </row>
    <row r="22" spans="1:5" ht="18.75" hidden="1" x14ac:dyDescent="0.3">
      <c r="A22" s="35"/>
      <c r="B22" s="47"/>
      <c r="C22" s="47"/>
      <c r="D22" s="47"/>
      <c r="E22" s="49">
        <f t="shared" si="0"/>
        <v>0</v>
      </c>
    </row>
    <row r="23" spans="1:5" ht="18.75" hidden="1" x14ac:dyDescent="0.3">
      <c r="A23" s="35"/>
      <c r="B23" s="47"/>
      <c r="C23" s="47"/>
      <c r="D23" s="47"/>
      <c r="E23" s="49">
        <f t="shared" si="0"/>
        <v>0</v>
      </c>
    </row>
    <row r="24" spans="1:5" ht="18.75" hidden="1" x14ac:dyDescent="0.3">
      <c r="A24" s="35"/>
      <c r="B24" s="47"/>
      <c r="C24" s="47"/>
      <c r="D24" s="47"/>
      <c r="E24" s="49">
        <f t="shared" si="0"/>
        <v>0</v>
      </c>
    </row>
    <row r="25" spans="1:5" ht="18.75" hidden="1" x14ac:dyDescent="0.3">
      <c r="A25" s="35"/>
      <c r="B25" s="47"/>
      <c r="C25" s="47"/>
      <c r="D25" s="47"/>
      <c r="E25" s="49">
        <f t="shared" si="0"/>
        <v>0</v>
      </c>
    </row>
    <row r="26" spans="1:5" ht="18.75" hidden="1" x14ac:dyDescent="0.3">
      <c r="A26" s="35"/>
      <c r="B26" s="47"/>
      <c r="C26" s="47"/>
      <c r="D26" s="47"/>
      <c r="E26" s="49">
        <f t="shared" si="0"/>
        <v>0</v>
      </c>
    </row>
    <row r="27" spans="1:5" ht="18.75" hidden="1" x14ac:dyDescent="0.3">
      <c r="A27" s="35"/>
      <c r="B27" s="47"/>
      <c r="C27" s="47"/>
      <c r="D27" s="47"/>
      <c r="E27" s="49">
        <f t="shared" si="0"/>
        <v>0</v>
      </c>
    </row>
    <row r="28" spans="1:5" ht="18.75" hidden="1" x14ac:dyDescent="0.3">
      <c r="A28" s="35"/>
      <c r="B28" s="47"/>
      <c r="C28" s="47"/>
      <c r="D28" s="47"/>
      <c r="E28" s="49">
        <f t="shared" si="0"/>
        <v>0</v>
      </c>
    </row>
    <row r="29" spans="1:5" ht="18.75" hidden="1" x14ac:dyDescent="0.3">
      <c r="A29" s="35"/>
      <c r="B29" s="47"/>
      <c r="C29" s="47"/>
      <c r="D29" s="47"/>
      <c r="E29" s="49">
        <f t="shared" si="0"/>
        <v>0</v>
      </c>
    </row>
    <row r="30" spans="1:5" ht="18.75" hidden="1" x14ac:dyDescent="0.3">
      <c r="A30" s="35"/>
      <c r="B30" s="47"/>
      <c r="C30" s="47"/>
      <c r="D30" s="47"/>
      <c r="E30" s="49">
        <f t="shared" si="0"/>
        <v>0</v>
      </c>
    </row>
    <row r="31" spans="1:5" ht="18.75" hidden="1" x14ac:dyDescent="0.3">
      <c r="A31" s="35"/>
      <c r="B31" s="47"/>
      <c r="C31" s="47"/>
      <c r="D31" s="47"/>
      <c r="E31" s="49">
        <f t="shared" si="0"/>
        <v>0</v>
      </c>
    </row>
    <row r="32" spans="1:5" ht="18.75" hidden="1" x14ac:dyDescent="0.3">
      <c r="A32" s="35"/>
      <c r="B32" s="47"/>
      <c r="C32" s="47"/>
      <c r="D32" s="47"/>
      <c r="E32" s="49">
        <f t="shared" si="0"/>
        <v>0</v>
      </c>
    </row>
    <row r="33" spans="1:5" ht="18.75" hidden="1" x14ac:dyDescent="0.3">
      <c r="A33" s="35"/>
      <c r="B33" s="47"/>
      <c r="C33" s="47"/>
      <c r="D33" s="47"/>
      <c r="E33" s="49">
        <f t="shared" si="0"/>
        <v>0</v>
      </c>
    </row>
    <row r="34" spans="1:5" ht="18.75" hidden="1" x14ac:dyDescent="0.3">
      <c r="A34" s="35"/>
      <c r="B34" s="47"/>
      <c r="C34" s="47"/>
      <c r="D34" s="47"/>
      <c r="E34" s="49">
        <f t="shared" si="0"/>
        <v>0</v>
      </c>
    </row>
    <row r="35" spans="1:5" ht="18.75" hidden="1" x14ac:dyDescent="0.3">
      <c r="A35" s="35"/>
      <c r="B35" s="47"/>
      <c r="C35" s="47"/>
      <c r="D35" s="47"/>
      <c r="E35" s="49">
        <f t="shared" si="0"/>
        <v>0</v>
      </c>
    </row>
    <row r="36" spans="1:5" ht="18.75" hidden="1" x14ac:dyDescent="0.3">
      <c r="A36" s="35"/>
      <c r="B36" s="47"/>
      <c r="C36" s="47"/>
      <c r="D36" s="47"/>
      <c r="E36" s="49">
        <f t="shared" si="0"/>
        <v>0</v>
      </c>
    </row>
    <row r="37" spans="1:5" ht="18.75" hidden="1" x14ac:dyDescent="0.3">
      <c r="A37" s="35"/>
      <c r="B37" s="47"/>
      <c r="C37" s="47"/>
      <c r="D37" s="47"/>
      <c r="E37" s="49">
        <f t="shared" si="0"/>
        <v>0</v>
      </c>
    </row>
    <row r="38" spans="1:5" ht="18.75" hidden="1" x14ac:dyDescent="0.3">
      <c r="A38" s="35"/>
      <c r="B38" s="47"/>
      <c r="C38" s="47"/>
      <c r="D38" s="47"/>
      <c r="E38" s="49">
        <f t="shared" si="0"/>
        <v>0</v>
      </c>
    </row>
    <row r="39" spans="1:5" ht="18.75" hidden="1" x14ac:dyDescent="0.3">
      <c r="A39" s="35"/>
      <c r="B39" s="47"/>
      <c r="C39" s="47"/>
      <c r="D39" s="47"/>
      <c r="E39" s="49">
        <f t="shared" si="0"/>
        <v>0</v>
      </c>
    </row>
    <row r="40" spans="1:5" ht="18.75" hidden="1" x14ac:dyDescent="0.3">
      <c r="A40" s="35"/>
      <c r="B40" s="47"/>
      <c r="C40" s="47"/>
      <c r="D40" s="47"/>
      <c r="E40" s="49">
        <f t="shared" si="0"/>
        <v>0</v>
      </c>
    </row>
    <row r="41" spans="1:5" ht="18.75" hidden="1" x14ac:dyDescent="0.3">
      <c r="A41" s="35"/>
      <c r="B41" s="47"/>
      <c r="C41" s="47"/>
      <c r="D41" s="47"/>
      <c r="E41" s="49">
        <f t="shared" si="0"/>
        <v>0</v>
      </c>
    </row>
    <row r="42" spans="1:5" ht="18.75" hidden="1" x14ac:dyDescent="0.3">
      <c r="A42" s="35"/>
      <c r="B42" s="47"/>
      <c r="C42" s="47"/>
      <c r="D42" s="47"/>
      <c r="E42" s="49">
        <f t="shared" si="0"/>
        <v>0</v>
      </c>
    </row>
    <row r="43" spans="1:5" ht="18.75" hidden="1" x14ac:dyDescent="0.3">
      <c r="A43" s="35"/>
      <c r="B43" s="47"/>
      <c r="C43" s="47"/>
      <c r="D43" s="47"/>
      <c r="E43" s="49">
        <f t="shared" si="0"/>
        <v>0</v>
      </c>
    </row>
    <row r="44" spans="1:5" ht="18.75" hidden="1" x14ac:dyDescent="0.3">
      <c r="A44" s="35"/>
      <c r="B44" s="47"/>
      <c r="C44" s="47"/>
      <c r="D44" s="47"/>
      <c r="E44" s="49">
        <f t="shared" si="0"/>
        <v>0</v>
      </c>
    </row>
    <row r="45" spans="1:5" ht="18.75" hidden="1" x14ac:dyDescent="0.3">
      <c r="A45" s="35"/>
      <c r="B45" s="47"/>
      <c r="C45" s="47"/>
      <c r="D45" s="47"/>
      <c r="E45" s="49">
        <f t="shared" si="0"/>
        <v>0</v>
      </c>
    </row>
    <row r="46" spans="1:5" ht="18.75" hidden="1" x14ac:dyDescent="0.3">
      <c r="A46" s="35"/>
      <c r="B46" s="47"/>
      <c r="C46" s="47"/>
      <c r="D46" s="47"/>
      <c r="E46" s="49">
        <f t="shared" si="0"/>
        <v>0</v>
      </c>
    </row>
    <row r="47" spans="1:5" ht="18.75" hidden="1" x14ac:dyDescent="0.3">
      <c r="A47" s="35"/>
      <c r="B47" s="47"/>
      <c r="C47" s="47"/>
      <c r="D47" s="47"/>
      <c r="E47" s="49">
        <f t="shared" si="0"/>
        <v>0</v>
      </c>
    </row>
    <row r="48" spans="1:5" ht="18.75" hidden="1" x14ac:dyDescent="0.3">
      <c r="A48" s="35"/>
      <c r="B48" s="47"/>
      <c r="C48" s="47"/>
      <c r="D48" s="47"/>
      <c r="E48" s="49">
        <f t="shared" si="0"/>
        <v>0</v>
      </c>
    </row>
    <row r="49" spans="1:5" ht="18.75" hidden="1" x14ac:dyDescent="0.3">
      <c r="A49" s="35"/>
      <c r="B49" s="47"/>
      <c r="C49" s="47"/>
      <c r="D49" s="47"/>
      <c r="E49" s="49">
        <f t="shared" si="0"/>
        <v>0</v>
      </c>
    </row>
    <row r="50" spans="1:5" ht="18.75" hidden="1" x14ac:dyDescent="0.3">
      <c r="A50" s="35"/>
      <c r="B50" s="47"/>
      <c r="C50" s="47"/>
      <c r="D50" s="47"/>
      <c r="E50" s="49">
        <f t="shared" si="0"/>
        <v>0</v>
      </c>
    </row>
    <row r="51" spans="1:5" ht="18.75" hidden="1" x14ac:dyDescent="0.3">
      <c r="A51" s="35"/>
      <c r="B51" s="47"/>
      <c r="C51" s="47"/>
      <c r="D51" s="47"/>
      <c r="E51" s="49">
        <f t="shared" si="0"/>
        <v>0</v>
      </c>
    </row>
    <row r="52" spans="1:5" ht="18.75" hidden="1" x14ac:dyDescent="0.3">
      <c r="A52" s="35"/>
      <c r="B52" s="47"/>
      <c r="C52" s="47"/>
      <c r="D52" s="47"/>
      <c r="E52" s="49">
        <f t="shared" si="0"/>
        <v>0</v>
      </c>
    </row>
    <row r="53" spans="1:5" ht="18.75" hidden="1" x14ac:dyDescent="0.3">
      <c r="A53" s="35"/>
      <c r="B53" s="47"/>
      <c r="C53" s="47"/>
      <c r="D53" s="47"/>
      <c r="E53" s="49">
        <f t="shared" si="0"/>
        <v>0</v>
      </c>
    </row>
    <row r="54" spans="1:5" ht="18.75" hidden="1" x14ac:dyDescent="0.3">
      <c r="A54" s="35"/>
      <c r="B54" s="47"/>
      <c r="C54" s="47"/>
      <c r="D54" s="47"/>
      <c r="E54" s="49">
        <f t="shared" si="0"/>
        <v>0</v>
      </c>
    </row>
    <row r="55" spans="1:5" ht="18.75" hidden="1" x14ac:dyDescent="0.3">
      <c r="A55" s="35"/>
      <c r="B55" s="47"/>
      <c r="C55" s="47"/>
      <c r="D55" s="47"/>
      <c r="E55" s="49">
        <f t="shared" si="0"/>
        <v>0</v>
      </c>
    </row>
    <row r="56" spans="1:5" ht="18.75" hidden="1" x14ac:dyDescent="0.3">
      <c r="A56" s="35"/>
      <c r="B56" s="47"/>
      <c r="C56" s="47"/>
      <c r="D56" s="47"/>
      <c r="E56" s="49">
        <f t="shared" si="0"/>
        <v>0</v>
      </c>
    </row>
    <row r="57" spans="1:5" ht="18.75" hidden="1" x14ac:dyDescent="0.3">
      <c r="A57" s="35"/>
      <c r="B57" s="47"/>
      <c r="C57" s="47"/>
      <c r="D57" s="47"/>
      <c r="E57" s="49">
        <f t="shared" si="0"/>
        <v>0</v>
      </c>
    </row>
    <row r="58" spans="1:5" ht="18.75" hidden="1" x14ac:dyDescent="0.3">
      <c r="A58" s="35"/>
      <c r="B58" s="47"/>
      <c r="C58" s="47"/>
      <c r="D58" s="47"/>
      <c r="E58" s="49">
        <f t="shared" si="0"/>
        <v>0</v>
      </c>
    </row>
    <row r="59" spans="1:5" ht="18.75" hidden="1" x14ac:dyDescent="0.3">
      <c r="A59" s="35"/>
      <c r="B59" s="47"/>
      <c r="C59" s="47"/>
      <c r="D59" s="47"/>
      <c r="E59" s="49">
        <f t="shared" si="0"/>
        <v>0</v>
      </c>
    </row>
    <row r="60" spans="1:5" ht="18.75" hidden="1" x14ac:dyDescent="0.3">
      <c r="A60" s="35"/>
      <c r="B60" s="47"/>
      <c r="C60" s="47"/>
      <c r="D60" s="47"/>
      <c r="E60" s="49">
        <f t="shared" si="0"/>
        <v>0</v>
      </c>
    </row>
    <row r="61" spans="1:5" ht="18.75" hidden="1" x14ac:dyDescent="0.3">
      <c r="A61" s="35"/>
      <c r="B61" s="47"/>
      <c r="C61" s="47"/>
      <c r="D61" s="47"/>
      <c r="E61" s="49">
        <f t="shared" si="0"/>
        <v>0</v>
      </c>
    </row>
    <row r="62" spans="1:5" ht="18.75" hidden="1" x14ac:dyDescent="0.3">
      <c r="A62" s="35"/>
      <c r="B62" s="47"/>
      <c r="C62" s="47"/>
      <c r="D62" s="47"/>
      <c r="E62" s="49">
        <f t="shared" si="0"/>
        <v>0</v>
      </c>
    </row>
    <row r="63" spans="1:5" ht="18.75" hidden="1" x14ac:dyDescent="0.3">
      <c r="A63" s="35"/>
      <c r="B63" s="47"/>
      <c r="C63" s="47"/>
      <c r="D63" s="47"/>
      <c r="E63" s="49">
        <f t="shared" si="0"/>
        <v>0</v>
      </c>
    </row>
    <row r="64" spans="1:5" ht="18.75" hidden="1" x14ac:dyDescent="0.3">
      <c r="A64" s="35"/>
      <c r="B64" s="47"/>
      <c r="C64" s="47"/>
      <c r="D64" s="47"/>
      <c r="E64" s="49">
        <f t="shared" si="0"/>
        <v>0</v>
      </c>
    </row>
    <row r="65" spans="1:5" ht="18.75" hidden="1" x14ac:dyDescent="0.3">
      <c r="A65" s="35"/>
      <c r="B65" s="47"/>
      <c r="C65" s="47"/>
      <c r="D65" s="47"/>
      <c r="E65" s="49">
        <f t="shared" si="0"/>
        <v>0</v>
      </c>
    </row>
    <row r="66" spans="1:5" ht="18.75" hidden="1" x14ac:dyDescent="0.3">
      <c r="A66" s="35"/>
      <c r="B66" s="47"/>
      <c r="C66" s="47"/>
      <c r="D66" s="47"/>
      <c r="E66" s="49">
        <f t="shared" si="0"/>
        <v>0</v>
      </c>
    </row>
    <row r="67" spans="1:5" ht="18.75" hidden="1" x14ac:dyDescent="0.3">
      <c r="A67" s="35"/>
      <c r="B67" s="47"/>
      <c r="C67" s="47"/>
      <c r="D67" s="47"/>
      <c r="E67" s="49">
        <f t="shared" si="0"/>
        <v>0</v>
      </c>
    </row>
    <row r="68" spans="1:5" ht="18.75" hidden="1" x14ac:dyDescent="0.3">
      <c r="A68" s="35"/>
      <c r="B68" s="47"/>
      <c r="C68" s="47"/>
      <c r="D68" s="47"/>
      <c r="E68" s="49">
        <f t="shared" si="0"/>
        <v>0</v>
      </c>
    </row>
    <row r="69" spans="1:5" ht="18.75" hidden="1" x14ac:dyDescent="0.3">
      <c r="A69" s="35"/>
      <c r="B69" s="47"/>
      <c r="C69" s="47"/>
      <c r="D69" s="47"/>
      <c r="E69" s="49">
        <f t="shared" ref="E69:E132" si="1">SUM(B69:D69)</f>
        <v>0</v>
      </c>
    </row>
    <row r="70" spans="1:5" ht="18.75" hidden="1" x14ac:dyDescent="0.3">
      <c r="A70" s="35"/>
      <c r="B70" s="47"/>
      <c r="C70" s="47"/>
      <c r="D70" s="47"/>
      <c r="E70" s="49">
        <f t="shared" si="1"/>
        <v>0</v>
      </c>
    </row>
    <row r="71" spans="1:5" ht="18.75" hidden="1" x14ac:dyDescent="0.3">
      <c r="A71" s="35"/>
      <c r="B71" s="47"/>
      <c r="C71" s="47"/>
      <c r="D71" s="47"/>
      <c r="E71" s="49">
        <f t="shared" si="1"/>
        <v>0</v>
      </c>
    </row>
    <row r="72" spans="1:5" ht="18.75" hidden="1" x14ac:dyDescent="0.3">
      <c r="A72" s="35"/>
      <c r="B72" s="47"/>
      <c r="C72" s="47"/>
      <c r="D72" s="47"/>
      <c r="E72" s="49">
        <f t="shared" si="1"/>
        <v>0</v>
      </c>
    </row>
    <row r="73" spans="1:5" ht="18.75" hidden="1" x14ac:dyDescent="0.3">
      <c r="A73" s="35"/>
      <c r="B73" s="47"/>
      <c r="C73" s="47"/>
      <c r="D73" s="47"/>
      <c r="E73" s="49">
        <f t="shared" si="1"/>
        <v>0</v>
      </c>
    </row>
    <row r="74" spans="1:5" ht="18.75" hidden="1" x14ac:dyDescent="0.3">
      <c r="A74" s="35"/>
      <c r="B74" s="47"/>
      <c r="C74" s="47"/>
      <c r="D74" s="47"/>
      <c r="E74" s="49">
        <f t="shared" si="1"/>
        <v>0</v>
      </c>
    </row>
    <row r="75" spans="1:5" ht="18.75" hidden="1" x14ac:dyDescent="0.3">
      <c r="A75" s="35"/>
      <c r="B75" s="47"/>
      <c r="C75" s="47"/>
      <c r="D75" s="47"/>
      <c r="E75" s="49">
        <f t="shared" si="1"/>
        <v>0</v>
      </c>
    </row>
    <row r="76" spans="1:5" ht="18.75" hidden="1" x14ac:dyDescent="0.3">
      <c r="A76" s="35"/>
      <c r="B76" s="47"/>
      <c r="C76" s="47"/>
      <c r="D76" s="47"/>
      <c r="E76" s="49">
        <f t="shared" si="1"/>
        <v>0</v>
      </c>
    </row>
    <row r="77" spans="1:5" ht="18.75" hidden="1" x14ac:dyDescent="0.3">
      <c r="A77" s="35"/>
      <c r="B77" s="47"/>
      <c r="C77" s="47"/>
      <c r="D77" s="47"/>
      <c r="E77" s="49">
        <f t="shared" si="1"/>
        <v>0</v>
      </c>
    </row>
    <row r="78" spans="1:5" ht="18.75" hidden="1" x14ac:dyDescent="0.3">
      <c r="A78" s="35"/>
      <c r="B78" s="47"/>
      <c r="C78" s="47"/>
      <c r="D78" s="47"/>
      <c r="E78" s="49">
        <f t="shared" si="1"/>
        <v>0</v>
      </c>
    </row>
    <row r="79" spans="1:5" ht="18.75" hidden="1" x14ac:dyDescent="0.3">
      <c r="A79" s="35"/>
      <c r="B79" s="47"/>
      <c r="C79" s="47"/>
      <c r="D79" s="47"/>
      <c r="E79" s="49">
        <f t="shared" si="1"/>
        <v>0</v>
      </c>
    </row>
    <row r="80" spans="1:5" ht="18.75" hidden="1" x14ac:dyDescent="0.3">
      <c r="A80" s="35"/>
      <c r="B80" s="47"/>
      <c r="C80" s="47"/>
      <c r="D80" s="47"/>
      <c r="E80" s="49">
        <f t="shared" si="1"/>
        <v>0</v>
      </c>
    </row>
    <row r="81" spans="1:5" ht="18.75" hidden="1" x14ac:dyDescent="0.3">
      <c r="A81" s="35"/>
      <c r="B81" s="47"/>
      <c r="C81" s="47"/>
      <c r="D81" s="47"/>
      <c r="E81" s="49">
        <f t="shared" si="1"/>
        <v>0</v>
      </c>
    </row>
    <row r="82" spans="1:5" ht="18.75" hidden="1" x14ac:dyDescent="0.3">
      <c r="A82" s="35"/>
      <c r="B82" s="47"/>
      <c r="C82" s="47"/>
      <c r="D82" s="47"/>
      <c r="E82" s="49">
        <f t="shared" si="1"/>
        <v>0</v>
      </c>
    </row>
    <row r="83" spans="1:5" ht="18.75" hidden="1" x14ac:dyDescent="0.3">
      <c r="A83" s="35"/>
      <c r="B83" s="47"/>
      <c r="C83" s="47"/>
      <c r="D83" s="47"/>
      <c r="E83" s="49">
        <f t="shared" si="1"/>
        <v>0</v>
      </c>
    </row>
    <row r="84" spans="1:5" ht="18.75" hidden="1" x14ac:dyDescent="0.3">
      <c r="A84" s="35"/>
      <c r="B84" s="47"/>
      <c r="C84" s="47"/>
      <c r="D84" s="47"/>
      <c r="E84" s="49">
        <f t="shared" si="1"/>
        <v>0</v>
      </c>
    </row>
    <row r="85" spans="1:5" ht="18.75" hidden="1" x14ac:dyDescent="0.3">
      <c r="A85" s="35"/>
      <c r="B85" s="47"/>
      <c r="C85" s="47"/>
      <c r="D85" s="47"/>
      <c r="E85" s="49">
        <f t="shared" si="1"/>
        <v>0</v>
      </c>
    </row>
    <row r="86" spans="1:5" ht="18.75" hidden="1" x14ac:dyDescent="0.3">
      <c r="A86" s="35"/>
      <c r="B86" s="47"/>
      <c r="C86" s="47"/>
      <c r="D86" s="47"/>
      <c r="E86" s="49">
        <f t="shared" si="1"/>
        <v>0</v>
      </c>
    </row>
    <row r="87" spans="1:5" ht="18.75" hidden="1" x14ac:dyDescent="0.3">
      <c r="A87" s="35"/>
      <c r="B87" s="47"/>
      <c r="C87" s="47"/>
      <c r="D87" s="47"/>
      <c r="E87" s="49">
        <f t="shared" si="1"/>
        <v>0</v>
      </c>
    </row>
    <row r="88" spans="1:5" ht="18.75" hidden="1" x14ac:dyDescent="0.3">
      <c r="A88" s="35"/>
      <c r="B88" s="47"/>
      <c r="C88" s="47"/>
      <c r="D88" s="47"/>
      <c r="E88" s="49">
        <f t="shared" si="1"/>
        <v>0</v>
      </c>
    </row>
    <row r="89" spans="1:5" ht="18.75" hidden="1" x14ac:dyDescent="0.3">
      <c r="A89" s="35"/>
      <c r="B89" s="47"/>
      <c r="C89" s="47"/>
      <c r="D89" s="47"/>
      <c r="E89" s="49">
        <f t="shared" si="1"/>
        <v>0</v>
      </c>
    </row>
    <row r="90" spans="1:5" ht="18.75" hidden="1" x14ac:dyDescent="0.3">
      <c r="A90" s="35"/>
      <c r="B90" s="47"/>
      <c r="C90" s="47"/>
      <c r="D90" s="47"/>
      <c r="E90" s="49">
        <f t="shared" si="1"/>
        <v>0</v>
      </c>
    </row>
    <row r="91" spans="1:5" ht="18.75" hidden="1" x14ac:dyDescent="0.3">
      <c r="A91" s="35"/>
      <c r="B91" s="47"/>
      <c r="C91" s="47"/>
      <c r="D91" s="47"/>
      <c r="E91" s="49">
        <f t="shared" si="1"/>
        <v>0</v>
      </c>
    </row>
    <row r="92" spans="1:5" ht="18.75" hidden="1" x14ac:dyDescent="0.3">
      <c r="A92" s="35"/>
      <c r="B92" s="47"/>
      <c r="C92" s="47"/>
      <c r="D92" s="47"/>
      <c r="E92" s="49">
        <f t="shared" si="1"/>
        <v>0</v>
      </c>
    </row>
    <row r="93" spans="1:5" ht="18.75" hidden="1" x14ac:dyDescent="0.3">
      <c r="A93" s="35"/>
      <c r="B93" s="47"/>
      <c r="C93" s="47"/>
      <c r="D93" s="47"/>
      <c r="E93" s="49">
        <f t="shared" si="1"/>
        <v>0</v>
      </c>
    </row>
    <row r="94" spans="1:5" ht="18.75" hidden="1" x14ac:dyDescent="0.3">
      <c r="A94" s="35"/>
      <c r="B94" s="47"/>
      <c r="C94" s="47"/>
      <c r="D94" s="47"/>
      <c r="E94" s="49">
        <f t="shared" si="1"/>
        <v>0</v>
      </c>
    </row>
    <row r="95" spans="1:5" ht="18.75" hidden="1" x14ac:dyDescent="0.3">
      <c r="A95" s="35"/>
      <c r="B95" s="47"/>
      <c r="C95" s="47"/>
      <c r="D95" s="47"/>
      <c r="E95" s="49">
        <f t="shared" si="1"/>
        <v>0</v>
      </c>
    </row>
    <row r="96" spans="1:5" ht="18.75" hidden="1" x14ac:dyDescent="0.3">
      <c r="A96" s="35"/>
      <c r="B96" s="47"/>
      <c r="C96" s="47"/>
      <c r="D96" s="47"/>
      <c r="E96" s="49">
        <f t="shared" si="1"/>
        <v>0</v>
      </c>
    </row>
    <row r="97" spans="1:5" ht="18.75" hidden="1" x14ac:dyDescent="0.3">
      <c r="A97" s="35"/>
      <c r="B97" s="47"/>
      <c r="C97" s="47"/>
      <c r="D97" s="47"/>
      <c r="E97" s="49">
        <f t="shared" si="1"/>
        <v>0</v>
      </c>
    </row>
    <row r="98" spans="1:5" ht="18.75" hidden="1" x14ac:dyDescent="0.3">
      <c r="A98" s="35"/>
      <c r="B98" s="47"/>
      <c r="C98" s="47"/>
      <c r="D98" s="47"/>
      <c r="E98" s="49">
        <f t="shared" si="1"/>
        <v>0</v>
      </c>
    </row>
    <row r="99" spans="1:5" ht="18.75" hidden="1" x14ac:dyDescent="0.3">
      <c r="A99" s="35"/>
      <c r="B99" s="47"/>
      <c r="C99" s="47"/>
      <c r="D99" s="47"/>
      <c r="E99" s="49">
        <f t="shared" si="1"/>
        <v>0</v>
      </c>
    </row>
    <row r="100" spans="1:5" ht="18.75" hidden="1" x14ac:dyDescent="0.3">
      <c r="A100" s="35"/>
      <c r="B100" s="47"/>
      <c r="C100" s="47"/>
      <c r="D100" s="47"/>
      <c r="E100" s="49">
        <f t="shared" si="1"/>
        <v>0</v>
      </c>
    </row>
    <row r="101" spans="1:5" ht="18.75" hidden="1" x14ac:dyDescent="0.3">
      <c r="A101" s="35"/>
      <c r="B101" s="47"/>
      <c r="C101" s="47"/>
      <c r="D101" s="47"/>
      <c r="E101" s="49">
        <f t="shared" si="1"/>
        <v>0</v>
      </c>
    </row>
    <row r="102" spans="1:5" ht="18.75" hidden="1" x14ac:dyDescent="0.3">
      <c r="A102" s="35"/>
      <c r="B102" s="47"/>
      <c r="C102" s="47"/>
      <c r="D102" s="47"/>
      <c r="E102" s="49">
        <f t="shared" si="1"/>
        <v>0</v>
      </c>
    </row>
    <row r="103" spans="1:5" ht="18.75" hidden="1" x14ac:dyDescent="0.3">
      <c r="A103" s="35"/>
      <c r="B103" s="47"/>
      <c r="C103" s="47"/>
      <c r="D103" s="47"/>
      <c r="E103" s="49">
        <f t="shared" si="1"/>
        <v>0</v>
      </c>
    </row>
    <row r="104" spans="1:5" ht="18.75" hidden="1" x14ac:dyDescent="0.3">
      <c r="A104" s="35"/>
      <c r="B104" s="47"/>
      <c r="C104" s="47"/>
      <c r="D104" s="47"/>
      <c r="E104" s="49">
        <f t="shared" si="1"/>
        <v>0</v>
      </c>
    </row>
    <row r="105" spans="1:5" ht="18.75" hidden="1" x14ac:dyDescent="0.3">
      <c r="A105" s="35"/>
      <c r="B105" s="47"/>
      <c r="C105" s="47"/>
      <c r="D105" s="47"/>
      <c r="E105" s="49">
        <f t="shared" si="1"/>
        <v>0</v>
      </c>
    </row>
    <row r="106" spans="1:5" ht="18.75" hidden="1" x14ac:dyDescent="0.3">
      <c r="A106" s="35"/>
      <c r="B106" s="47"/>
      <c r="C106" s="47"/>
      <c r="D106" s="47"/>
      <c r="E106" s="49">
        <f t="shared" si="1"/>
        <v>0</v>
      </c>
    </row>
    <row r="107" spans="1:5" ht="18.75" hidden="1" x14ac:dyDescent="0.3">
      <c r="A107" s="35"/>
      <c r="B107" s="47"/>
      <c r="C107" s="47"/>
      <c r="D107" s="47"/>
      <c r="E107" s="49">
        <f t="shared" si="1"/>
        <v>0</v>
      </c>
    </row>
    <row r="108" spans="1:5" ht="18.75" hidden="1" x14ac:dyDescent="0.3">
      <c r="A108" s="35"/>
      <c r="B108" s="47"/>
      <c r="C108" s="47"/>
      <c r="D108" s="47"/>
      <c r="E108" s="49">
        <f t="shared" si="1"/>
        <v>0</v>
      </c>
    </row>
    <row r="109" spans="1:5" ht="18.75" hidden="1" x14ac:dyDescent="0.3">
      <c r="A109" s="35"/>
      <c r="B109" s="47"/>
      <c r="C109" s="47"/>
      <c r="D109" s="47"/>
      <c r="E109" s="49">
        <f t="shared" si="1"/>
        <v>0</v>
      </c>
    </row>
    <row r="110" spans="1:5" ht="18.75" hidden="1" x14ac:dyDescent="0.3">
      <c r="A110" s="35"/>
      <c r="B110" s="47"/>
      <c r="C110" s="47"/>
      <c r="D110" s="47"/>
      <c r="E110" s="49">
        <f t="shared" si="1"/>
        <v>0</v>
      </c>
    </row>
    <row r="111" spans="1:5" ht="18.75" hidden="1" x14ac:dyDescent="0.3">
      <c r="A111" s="35"/>
      <c r="B111" s="47"/>
      <c r="C111" s="47"/>
      <c r="D111" s="47"/>
      <c r="E111" s="49">
        <f t="shared" si="1"/>
        <v>0</v>
      </c>
    </row>
    <row r="112" spans="1:5" ht="18.75" hidden="1" x14ac:dyDescent="0.3">
      <c r="A112" s="35"/>
      <c r="B112" s="47"/>
      <c r="C112" s="47"/>
      <c r="D112" s="47"/>
      <c r="E112" s="49">
        <f t="shared" si="1"/>
        <v>0</v>
      </c>
    </row>
    <row r="113" spans="1:5" ht="18.75" hidden="1" x14ac:dyDescent="0.3">
      <c r="A113" s="35"/>
      <c r="B113" s="47"/>
      <c r="C113" s="47"/>
      <c r="D113" s="47"/>
      <c r="E113" s="49">
        <f t="shared" si="1"/>
        <v>0</v>
      </c>
    </row>
    <row r="114" spans="1:5" ht="18.75" hidden="1" x14ac:dyDescent="0.3">
      <c r="A114" s="35"/>
      <c r="B114" s="47"/>
      <c r="C114" s="47"/>
      <c r="D114" s="47"/>
      <c r="E114" s="49">
        <f t="shared" si="1"/>
        <v>0</v>
      </c>
    </row>
    <row r="115" spans="1:5" ht="18.75" hidden="1" x14ac:dyDescent="0.3">
      <c r="A115" s="35"/>
      <c r="B115" s="47"/>
      <c r="C115" s="47"/>
      <c r="D115" s="47"/>
      <c r="E115" s="49">
        <f t="shared" si="1"/>
        <v>0</v>
      </c>
    </row>
    <row r="116" spans="1:5" ht="18.75" hidden="1" x14ac:dyDescent="0.3">
      <c r="A116" s="35"/>
      <c r="B116" s="47"/>
      <c r="C116" s="47"/>
      <c r="D116" s="47"/>
      <c r="E116" s="49">
        <f t="shared" si="1"/>
        <v>0</v>
      </c>
    </row>
    <row r="117" spans="1:5" ht="18.75" hidden="1" x14ac:dyDescent="0.3">
      <c r="A117" s="35"/>
      <c r="B117" s="47"/>
      <c r="C117" s="47"/>
      <c r="D117" s="47"/>
      <c r="E117" s="49">
        <f t="shared" si="1"/>
        <v>0</v>
      </c>
    </row>
    <row r="118" spans="1:5" ht="18.75" hidden="1" x14ac:dyDescent="0.3">
      <c r="A118" s="35"/>
      <c r="B118" s="47"/>
      <c r="C118" s="47"/>
      <c r="D118" s="47"/>
      <c r="E118" s="49">
        <f t="shared" si="1"/>
        <v>0</v>
      </c>
    </row>
    <row r="119" spans="1:5" ht="18.75" hidden="1" x14ac:dyDescent="0.3">
      <c r="A119" s="35"/>
      <c r="B119" s="47"/>
      <c r="C119" s="47"/>
      <c r="D119" s="47"/>
      <c r="E119" s="49">
        <f t="shared" si="1"/>
        <v>0</v>
      </c>
    </row>
    <row r="120" spans="1:5" ht="18.75" hidden="1" x14ac:dyDescent="0.3">
      <c r="A120" s="35"/>
      <c r="B120" s="47"/>
      <c r="C120" s="47"/>
      <c r="D120" s="47"/>
      <c r="E120" s="49">
        <f t="shared" si="1"/>
        <v>0</v>
      </c>
    </row>
    <row r="121" spans="1:5" ht="18.75" hidden="1" x14ac:dyDescent="0.3">
      <c r="A121" s="35"/>
      <c r="B121" s="47"/>
      <c r="C121" s="47"/>
      <c r="D121" s="47"/>
      <c r="E121" s="49">
        <f t="shared" si="1"/>
        <v>0</v>
      </c>
    </row>
    <row r="122" spans="1:5" ht="18.75" hidden="1" x14ac:dyDescent="0.3">
      <c r="A122" s="35"/>
      <c r="B122" s="47"/>
      <c r="C122" s="47"/>
      <c r="D122" s="47"/>
      <c r="E122" s="49">
        <f t="shared" si="1"/>
        <v>0</v>
      </c>
    </row>
    <row r="123" spans="1:5" ht="18.75" hidden="1" x14ac:dyDescent="0.3">
      <c r="A123" s="35"/>
      <c r="B123" s="47"/>
      <c r="C123" s="47"/>
      <c r="D123" s="47"/>
      <c r="E123" s="49">
        <f t="shared" si="1"/>
        <v>0</v>
      </c>
    </row>
    <row r="124" spans="1:5" ht="18.75" hidden="1" x14ac:dyDescent="0.3">
      <c r="A124" s="35"/>
      <c r="B124" s="47"/>
      <c r="C124" s="47"/>
      <c r="D124" s="47"/>
      <c r="E124" s="49">
        <f t="shared" si="1"/>
        <v>0</v>
      </c>
    </row>
    <row r="125" spans="1:5" ht="18.75" hidden="1" x14ac:dyDescent="0.3">
      <c r="A125" s="35"/>
      <c r="B125" s="47"/>
      <c r="C125" s="47"/>
      <c r="D125" s="47"/>
      <c r="E125" s="49">
        <f t="shared" si="1"/>
        <v>0</v>
      </c>
    </row>
    <row r="126" spans="1:5" ht="18.75" hidden="1" x14ac:dyDescent="0.3">
      <c r="A126" s="35"/>
      <c r="B126" s="47"/>
      <c r="C126" s="47"/>
      <c r="D126" s="47"/>
      <c r="E126" s="49">
        <f t="shared" si="1"/>
        <v>0</v>
      </c>
    </row>
    <row r="127" spans="1:5" ht="18.75" hidden="1" x14ac:dyDescent="0.3">
      <c r="A127" s="35"/>
      <c r="B127" s="47"/>
      <c r="C127" s="47"/>
      <c r="D127" s="47"/>
      <c r="E127" s="49">
        <f t="shared" si="1"/>
        <v>0</v>
      </c>
    </row>
    <row r="128" spans="1:5" ht="18.75" hidden="1" x14ac:dyDescent="0.3">
      <c r="A128" s="35"/>
      <c r="B128" s="47"/>
      <c r="C128" s="47"/>
      <c r="D128" s="47"/>
      <c r="E128" s="49">
        <f t="shared" si="1"/>
        <v>0</v>
      </c>
    </row>
    <row r="129" spans="1:5" ht="18.75" hidden="1" x14ac:dyDescent="0.3">
      <c r="A129" s="35"/>
      <c r="B129" s="47"/>
      <c r="C129" s="47"/>
      <c r="D129" s="47"/>
      <c r="E129" s="49">
        <f t="shared" si="1"/>
        <v>0</v>
      </c>
    </row>
    <row r="130" spans="1:5" ht="18.75" hidden="1" x14ac:dyDescent="0.3">
      <c r="A130" s="35"/>
      <c r="B130" s="47"/>
      <c r="C130" s="47"/>
      <c r="D130" s="47"/>
      <c r="E130" s="49">
        <f t="shared" si="1"/>
        <v>0</v>
      </c>
    </row>
    <row r="131" spans="1:5" ht="18.75" hidden="1" x14ac:dyDescent="0.3">
      <c r="A131" s="35"/>
      <c r="B131" s="47"/>
      <c r="C131" s="47"/>
      <c r="D131" s="47"/>
      <c r="E131" s="49">
        <f t="shared" si="1"/>
        <v>0</v>
      </c>
    </row>
    <row r="132" spans="1:5" ht="18.75" hidden="1" x14ac:dyDescent="0.3">
      <c r="A132" s="35"/>
      <c r="B132" s="47"/>
      <c r="C132" s="47"/>
      <c r="D132" s="47"/>
      <c r="E132" s="49">
        <f t="shared" si="1"/>
        <v>0</v>
      </c>
    </row>
    <row r="133" spans="1:5" ht="18.75" hidden="1" x14ac:dyDescent="0.3">
      <c r="A133" s="35"/>
      <c r="B133" s="47"/>
      <c r="C133" s="47"/>
      <c r="D133" s="47"/>
      <c r="E133" s="49">
        <f t="shared" ref="E133:E183" si="2">SUM(B133:D133)</f>
        <v>0</v>
      </c>
    </row>
    <row r="134" spans="1:5" ht="18.75" hidden="1" x14ac:dyDescent="0.3">
      <c r="A134" s="35"/>
      <c r="B134" s="47"/>
      <c r="C134" s="47"/>
      <c r="D134" s="47"/>
      <c r="E134" s="49">
        <f t="shared" si="2"/>
        <v>0</v>
      </c>
    </row>
    <row r="135" spans="1:5" ht="18.75" hidden="1" x14ac:dyDescent="0.3">
      <c r="A135" s="35"/>
      <c r="B135" s="47"/>
      <c r="C135" s="47"/>
      <c r="D135" s="47"/>
      <c r="E135" s="49">
        <f t="shared" si="2"/>
        <v>0</v>
      </c>
    </row>
    <row r="136" spans="1:5" ht="18.75" hidden="1" x14ac:dyDescent="0.3">
      <c r="A136" s="35"/>
      <c r="B136" s="47"/>
      <c r="C136" s="47"/>
      <c r="D136" s="47"/>
      <c r="E136" s="49">
        <f t="shared" si="2"/>
        <v>0</v>
      </c>
    </row>
    <row r="137" spans="1:5" ht="18.75" hidden="1" x14ac:dyDescent="0.3">
      <c r="A137" s="35"/>
      <c r="B137" s="47"/>
      <c r="C137" s="47"/>
      <c r="D137" s="47"/>
      <c r="E137" s="49">
        <f t="shared" si="2"/>
        <v>0</v>
      </c>
    </row>
    <row r="138" spans="1:5" ht="18.75" hidden="1" x14ac:dyDescent="0.3">
      <c r="A138" s="35"/>
      <c r="B138" s="47"/>
      <c r="C138" s="47"/>
      <c r="D138" s="47"/>
      <c r="E138" s="49">
        <f t="shared" si="2"/>
        <v>0</v>
      </c>
    </row>
    <row r="139" spans="1:5" ht="18.75" hidden="1" x14ac:dyDescent="0.3">
      <c r="A139" s="35"/>
      <c r="B139" s="47"/>
      <c r="C139" s="47"/>
      <c r="D139" s="47"/>
      <c r="E139" s="49">
        <f t="shared" si="2"/>
        <v>0</v>
      </c>
    </row>
    <row r="140" spans="1:5" ht="18.75" hidden="1" x14ac:dyDescent="0.3">
      <c r="A140" s="35"/>
      <c r="B140" s="47"/>
      <c r="C140" s="47"/>
      <c r="D140" s="47"/>
      <c r="E140" s="49">
        <f t="shared" si="2"/>
        <v>0</v>
      </c>
    </row>
    <row r="141" spans="1:5" ht="18.75" hidden="1" x14ac:dyDescent="0.3">
      <c r="A141" s="35"/>
      <c r="B141" s="47"/>
      <c r="C141" s="47"/>
      <c r="D141" s="47"/>
      <c r="E141" s="49">
        <f t="shared" si="2"/>
        <v>0</v>
      </c>
    </row>
    <row r="142" spans="1:5" ht="18.75" hidden="1" x14ac:dyDescent="0.3">
      <c r="A142" s="35"/>
      <c r="B142" s="47"/>
      <c r="C142" s="47"/>
      <c r="D142" s="47"/>
      <c r="E142" s="49">
        <f t="shared" si="2"/>
        <v>0</v>
      </c>
    </row>
    <row r="143" spans="1:5" ht="18.75" hidden="1" x14ac:dyDescent="0.3">
      <c r="A143" s="35"/>
      <c r="B143" s="47"/>
      <c r="C143" s="47"/>
      <c r="D143" s="47"/>
      <c r="E143" s="49">
        <f t="shared" si="2"/>
        <v>0</v>
      </c>
    </row>
    <row r="144" spans="1:5" ht="18.75" hidden="1" x14ac:dyDescent="0.3">
      <c r="A144" s="35"/>
      <c r="B144" s="47"/>
      <c r="C144" s="47"/>
      <c r="D144" s="47"/>
      <c r="E144" s="49">
        <f t="shared" si="2"/>
        <v>0</v>
      </c>
    </row>
    <row r="145" spans="1:5" ht="18.75" hidden="1" x14ac:dyDescent="0.3">
      <c r="A145" s="35"/>
      <c r="B145" s="47"/>
      <c r="C145" s="47"/>
      <c r="D145" s="47"/>
      <c r="E145" s="49">
        <f t="shared" si="2"/>
        <v>0</v>
      </c>
    </row>
    <row r="146" spans="1:5" ht="18.75" hidden="1" x14ac:dyDescent="0.3">
      <c r="A146" s="35"/>
      <c r="B146" s="47"/>
      <c r="C146" s="47"/>
      <c r="D146" s="47"/>
      <c r="E146" s="49">
        <f t="shared" si="2"/>
        <v>0</v>
      </c>
    </row>
    <row r="147" spans="1:5" ht="18.75" hidden="1" x14ac:dyDescent="0.3">
      <c r="A147" s="35"/>
      <c r="B147" s="47"/>
      <c r="C147" s="47"/>
      <c r="D147" s="47"/>
      <c r="E147" s="49">
        <f t="shared" si="2"/>
        <v>0</v>
      </c>
    </row>
    <row r="148" spans="1:5" ht="18.75" hidden="1" x14ac:dyDescent="0.3">
      <c r="A148" s="35"/>
      <c r="B148" s="47"/>
      <c r="C148" s="47"/>
      <c r="D148" s="47"/>
      <c r="E148" s="49">
        <f t="shared" si="2"/>
        <v>0</v>
      </c>
    </row>
    <row r="149" spans="1:5" ht="18.75" hidden="1" x14ac:dyDescent="0.3">
      <c r="A149" s="35"/>
      <c r="B149" s="47"/>
      <c r="C149" s="47"/>
      <c r="D149" s="47"/>
      <c r="E149" s="49">
        <f t="shared" si="2"/>
        <v>0</v>
      </c>
    </row>
    <row r="150" spans="1:5" ht="18.75" hidden="1" x14ac:dyDescent="0.3">
      <c r="A150" s="35"/>
      <c r="B150" s="47"/>
      <c r="C150" s="47"/>
      <c r="D150" s="47"/>
      <c r="E150" s="49">
        <f t="shared" si="2"/>
        <v>0</v>
      </c>
    </row>
    <row r="151" spans="1:5" ht="18.75" hidden="1" x14ac:dyDescent="0.3">
      <c r="A151" s="35"/>
      <c r="B151" s="47"/>
      <c r="C151" s="47"/>
      <c r="D151" s="47"/>
      <c r="E151" s="49">
        <f t="shared" si="2"/>
        <v>0</v>
      </c>
    </row>
    <row r="152" spans="1:5" ht="18.75" hidden="1" x14ac:dyDescent="0.3">
      <c r="A152" s="35"/>
      <c r="B152" s="47"/>
      <c r="C152" s="47"/>
      <c r="D152" s="47"/>
      <c r="E152" s="49">
        <f t="shared" si="2"/>
        <v>0</v>
      </c>
    </row>
    <row r="153" spans="1:5" ht="18.75" hidden="1" x14ac:dyDescent="0.3">
      <c r="A153" s="35"/>
      <c r="B153" s="47"/>
      <c r="C153" s="47"/>
      <c r="D153" s="47"/>
      <c r="E153" s="49">
        <f t="shared" si="2"/>
        <v>0</v>
      </c>
    </row>
    <row r="154" spans="1:5" ht="18.75" hidden="1" x14ac:dyDescent="0.3">
      <c r="A154" s="35"/>
      <c r="B154" s="47"/>
      <c r="C154" s="47"/>
      <c r="D154" s="47"/>
      <c r="E154" s="49">
        <f t="shared" si="2"/>
        <v>0</v>
      </c>
    </row>
    <row r="155" spans="1:5" ht="18.75" hidden="1" x14ac:dyDescent="0.3">
      <c r="A155" s="36"/>
      <c r="B155" s="47"/>
      <c r="C155" s="47"/>
      <c r="D155" s="47"/>
      <c r="E155" s="49">
        <f t="shared" si="2"/>
        <v>0</v>
      </c>
    </row>
    <row r="156" spans="1:5" ht="18.75" hidden="1" x14ac:dyDescent="0.3">
      <c r="A156" s="36"/>
      <c r="B156" s="47"/>
      <c r="C156" s="47"/>
      <c r="D156" s="47"/>
      <c r="E156" s="49">
        <f t="shared" si="2"/>
        <v>0</v>
      </c>
    </row>
    <row r="157" spans="1:5" ht="18.75" hidden="1" x14ac:dyDescent="0.3">
      <c r="A157" s="36"/>
      <c r="B157" s="47"/>
      <c r="C157" s="47"/>
      <c r="D157" s="47"/>
      <c r="E157" s="49">
        <f t="shared" si="2"/>
        <v>0</v>
      </c>
    </row>
    <row r="158" spans="1:5" ht="18.75" hidden="1" x14ac:dyDescent="0.3">
      <c r="A158" s="36"/>
      <c r="B158" s="47"/>
      <c r="C158" s="47"/>
      <c r="D158" s="47"/>
      <c r="E158" s="49">
        <f t="shared" si="2"/>
        <v>0</v>
      </c>
    </row>
    <row r="159" spans="1:5" ht="18.75" hidden="1" x14ac:dyDescent="0.3">
      <c r="A159" s="36"/>
      <c r="B159" s="47"/>
      <c r="C159" s="47"/>
      <c r="D159" s="47"/>
      <c r="E159" s="49">
        <f t="shared" si="2"/>
        <v>0</v>
      </c>
    </row>
    <row r="160" spans="1:5" ht="18.75" hidden="1" x14ac:dyDescent="0.3">
      <c r="A160" s="36"/>
      <c r="B160" s="47"/>
      <c r="C160" s="47"/>
      <c r="D160" s="47"/>
      <c r="E160" s="49">
        <f t="shared" si="2"/>
        <v>0</v>
      </c>
    </row>
    <row r="161" spans="1:5" ht="18.75" hidden="1" x14ac:dyDescent="0.3">
      <c r="A161" s="36"/>
      <c r="B161" s="47"/>
      <c r="C161" s="47"/>
      <c r="D161" s="47"/>
      <c r="E161" s="49">
        <f t="shared" si="2"/>
        <v>0</v>
      </c>
    </row>
    <row r="162" spans="1:5" ht="18.75" hidden="1" x14ac:dyDescent="0.3">
      <c r="A162" s="36"/>
      <c r="B162" s="47"/>
      <c r="C162" s="47"/>
      <c r="D162" s="47"/>
      <c r="E162" s="49">
        <f t="shared" si="2"/>
        <v>0</v>
      </c>
    </row>
    <row r="163" spans="1:5" ht="18.75" hidden="1" x14ac:dyDescent="0.3">
      <c r="A163" s="36"/>
      <c r="B163" s="47"/>
      <c r="C163" s="47"/>
      <c r="D163" s="47"/>
      <c r="E163" s="49">
        <f t="shared" si="2"/>
        <v>0</v>
      </c>
    </row>
    <row r="164" spans="1:5" ht="18.75" hidden="1" x14ac:dyDescent="0.3">
      <c r="A164" s="36"/>
      <c r="B164" s="47"/>
      <c r="C164" s="47"/>
      <c r="D164" s="47"/>
      <c r="E164" s="49">
        <f t="shared" si="2"/>
        <v>0</v>
      </c>
    </row>
    <row r="165" spans="1:5" ht="18.75" hidden="1" x14ac:dyDescent="0.3">
      <c r="A165" s="36"/>
      <c r="B165" s="47"/>
      <c r="C165" s="47"/>
      <c r="D165" s="47"/>
      <c r="E165" s="49">
        <f t="shared" si="2"/>
        <v>0</v>
      </c>
    </row>
    <row r="166" spans="1:5" ht="18.75" hidden="1" x14ac:dyDescent="0.3">
      <c r="A166" s="36"/>
      <c r="B166" s="47"/>
      <c r="C166" s="47"/>
      <c r="D166" s="47"/>
      <c r="E166" s="49">
        <f t="shared" si="2"/>
        <v>0</v>
      </c>
    </row>
    <row r="167" spans="1:5" ht="18.75" hidden="1" x14ac:dyDescent="0.3">
      <c r="A167" s="36"/>
      <c r="B167" s="47"/>
      <c r="C167" s="47"/>
      <c r="D167" s="47"/>
      <c r="E167" s="49">
        <f t="shared" si="2"/>
        <v>0</v>
      </c>
    </row>
    <row r="168" spans="1:5" ht="18.75" hidden="1" x14ac:dyDescent="0.3">
      <c r="A168" s="36"/>
      <c r="B168" s="47"/>
      <c r="C168" s="47"/>
      <c r="D168" s="47"/>
      <c r="E168" s="49">
        <f t="shared" si="2"/>
        <v>0</v>
      </c>
    </row>
    <row r="169" spans="1:5" ht="18.75" hidden="1" x14ac:dyDescent="0.3">
      <c r="A169" s="36"/>
      <c r="B169" s="47"/>
      <c r="C169" s="47"/>
      <c r="D169" s="47"/>
      <c r="E169" s="49">
        <f t="shared" si="2"/>
        <v>0</v>
      </c>
    </row>
    <row r="170" spans="1:5" ht="18.75" hidden="1" x14ac:dyDescent="0.3">
      <c r="A170" s="36"/>
      <c r="B170" s="47"/>
      <c r="C170" s="47"/>
      <c r="D170" s="47"/>
      <c r="E170" s="49">
        <f t="shared" si="2"/>
        <v>0</v>
      </c>
    </row>
    <row r="171" spans="1:5" ht="18.75" hidden="1" x14ac:dyDescent="0.3">
      <c r="A171" s="36"/>
      <c r="B171" s="47"/>
      <c r="C171" s="47"/>
      <c r="D171" s="47"/>
      <c r="E171" s="49">
        <f t="shared" si="2"/>
        <v>0</v>
      </c>
    </row>
    <row r="172" spans="1:5" ht="18.75" hidden="1" x14ac:dyDescent="0.3">
      <c r="A172" s="36"/>
      <c r="B172" s="47"/>
      <c r="C172" s="47"/>
      <c r="D172" s="47"/>
      <c r="E172" s="49">
        <f t="shared" si="2"/>
        <v>0</v>
      </c>
    </row>
    <row r="173" spans="1:5" ht="18.75" hidden="1" x14ac:dyDescent="0.3">
      <c r="A173" s="36"/>
      <c r="B173" s="47"/>
      <c r="C173" s="47"/>
      <c r="D173" s="47"/>
      <c r="E173" s="49">
        <f t="shared" si="2"/>
        <v>0</v>
      </c>
    </row>
    <row r="174" spans="1:5" ht="18.75" hidden="1" x14ac:dyDescent="0.3">
      <c r="A174" s="36"/>
      <c r="B174" s="47"/>
      <c r="C174" s="47"/>
      <c r="D174" s="47"/>
      <c r="E174" s="49">
        <f t="shared" si="2"/>
        <v>0</v>
      </c>
    </row>
    <row r="175" spans="1:5" ht="18.75" hidden="1" x14ac:dyDescent="0.3">
      <c r="A175" s="36"/>
      <c r="B175" s="47"/>
      <c r="C175" s="47"/>
      <c r="D175" s="47"/>
      <c r="E175" s="49">
        <f t="shared" si="2"/>
        <v>0</v>
      </c>
    </row>
    <row r="176" spans="1:5" ht="18.75" hidden="1" x14ac:dyDescent="0.3">
      <c r="A176" s="36"/>
      <c r="B176" s="47"/>
      <c r="C176" s="47"/>
      <c r="D176" s="47"/>
      <c r="E176" s="49">
        <f t="shared" si="2"/>
        <v>0</v>
      </c>
    </row>
    <row r="177" spans="1:5" ht="18.75" hidden="1" x14ac:dyDescent="0.3">
      <c r="A177" s="36"/>
      <c r="B177" s="47"/>
      <c r="C177" s="47"/>
      <c r="D177" s="47"/>
      <c r="E177" s="49">
        <f t="shared" si="2"/>
        <v>0</v>
      </c>
    </row>
    <row r="178" spans="1:5" ht="18.75" hidden="1" x14ac:dyDescent="0.3">
      <c r="A178" s="36"/>
      <c r="B178" s="47"/>
      <c r="C178" s="47"/>
      <c r="D178" s="47"/>
      <c r="E178" s="49">
        <f t="shared" si="2"/>
        <v>0</v>
      </c>
    </row>
    <row r="179" spans="1:5" ht="18.75" hidden="1" x14ac:dyDescent="0.3">
      <c r="A179" s="36"/>
      <c r="B179" s="47"/>
      <c r="C179" s="47"/>
      <c r="D179" s="47"/>
      <c r="E179" s="49">
        <f t="shared" si="2"/>
        <v>0</v>
      </c>
    </row>
    <row r="180" spans="1:5" ht="18.75" hidden="1" x14ac:dyDescent="0.3">
      <c r="A180" s="36"/>
      <c r="B180" s="47"/>
      <c r="C180" s="47"/>
      <c r="D180" s="47"/>
      <c r="E180" s="49">
        <f t="shared" si="2"/>
        <v>0</v>
      </c>
    </row>
    <row r="181" spans="1:5" ht="18.75" hidden="1" x14ac:dyDescent="0.3">
      <c r="A181" s="36"/>
      <c r="B181" s="47"/>
      <c r="C181" s="47"/>
      <c r="D181" s="47"/>
      <c r="E181" s="49">
        <f t="shared" si="2"/>
        <v>0</v>
      </c>
    </row>
    <row r="182" spans="1:5" ht="18.75" x14ac:dyDescent="0.3">
      <c r="A182" s="35" t="s">
        <v>156</v>
      </c>
      <c r="B182" s="47">
        <f>50.48+740.28+605.68+2708.77+46.58+559.01+2500+683.23</f>
        <v>7894.0300000000007</v>
      </c>
      <c r="C182" s="47">
        <v>6500</v>
      </c>
      <c r="D182" s="47">
        <v>673.35</v>
      </c>
      <c r="E182" s="49">
        <f t="shared" si="2"/>
        <v>15067.380000000001</v>
      </c>
    </row>
    <row r="183" spans="1:5" ht="19.5" thickBot="1" x14ac:dyDescent="0.35">
      <c r="A183" s="35" t="s">
        <v>157</v>
      </c>
      <c r="B183" s="47">
        <f>751.55+614.91+51.24+2750</f>
        <v>4167.7</v>
      </c>
      <c r="C183" s="47">
        <v>6500</v>
      </c>
      <c r="D183" s="47">
        <v>693.01</v>
      </c>
      <c r="E183" s="51">
        <f t="shared" si="2"/>
        <v>11360.710000000001</v>
      </c>
    </row>
    <row r="184" spans="1:5" ht="19.5" thickBot="1" x14ac:dyDescent="0.35">
      <c r="A184" s="42" t="s">
        <v>148</v>
      </c>
      <c r="B184" s="37"/>
      <c r="C184" s="37"/>
      <c r="D184" s="40"/>
      <c r="E184" s="43">
        <f>SUM(E4:E183)</f>
        <v>172856.37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sqref="A1:B75"/>
    </sheetView>
  </sheetViews>
  <sheetFormatPr defaultColWidth="8.85546875" defaultRowHeight="15" x14ac:dyDescent="0.25"/>
  <cols>
    <col min="1" max="1" width="78.7109375" customWidth="1"/>
    <col min="2" max="2" width="16.28515625" customWidth="1"/>
    <col min="3" max="3" width="12" hidden="1" customWidth="1"/>
    <col min="4" max="4" width="10.28515625" hidden="1" customWidth="1"/>
    <col min="5" max="5" width="9.140625" hidden="1" customWidth="1"/>
    <col min="6" max="6" width="10.140625" hidden="1" customWidth="1"/>
    <col min="7" max="9" width="10.28515625" hidden="1" customWidth="1"/>
  </cols>
  <sheetData>
    <row r="1" spans="1:9" ht="39" customHeight="1" thickBot="1" x14ac:dyDescent="0.4">
      <c r="A1" s="151" t="s">
        <v>345</v>
      </c>
      <c r="B1" s="152"/>
      <c r="C1" s="12"/>
    </row>
    <row r="2" spans="1:9" ht="19.5" thickBot="1" x14ac:dyDescent="0.35">
      <c r="A2" s="73" t="s">
        <v>0</v>
      </c>
      <c r="B2" s="73" t="s">
        <v>1</v>
      </c>
      <c r="C2" s="25" t="s">
        <v>236</v>
      </c>
      <c r="D2" s="22">
        <v>7</v>
      </c>
      <c r="E2" s="22">
        <v>8</v>
      </c>
      <c r="F2" s="22">
        <v>9</v>
      </c>
      <c r="G2" s="22">
        <v>10</v>
      </c>
      <c r="H2" s="22">
        <v>11</v>
      </c>
      <c r="I2" s="22">
        <v>12</v>
      </c>
    </row>
    <row r="3" spans="1:9" ht="18.75" x14ac:dyDescent="0.3">
      <c r="A3" s="75" t="s">
        <v>334</v>
      </c>
      <c r="B3" s="74"/>
      <c r="C3" s="27"/>
      <c r="D3" s="71"/>
      <c r="E3" s="71"/>
      <c r="F3" s="71"/>
      <c r="G3" s="71"/>
      <c r="H3" s="71"/>
      <c r="I3" s="71"/>
    </row>
    <row r="4" spans="1:9" ht="18.75" x14ac:dyDescent="0.3">
      <c r="A4" s="74" t="s">
        <v>249</v>
      </c>
      <c r="B4" s="74">
        <f t="shared" ref="B4:B12" si="0">SUM(C4:I4)</f>
        <v>1735.17</v>
      </c>
      <c r="C4" s="27"/>
      <c r="D4" s="21"/>
      <c r="E4" s="21"/>
      <c r="F4" s="21"/>
      <c r="G4" s="21"/>
      <c r="H4" s="21">
        <v>433.8</v>
      </c>
      <c r="I4" s="21">
        <f>433.8+867.57</f>
        <v>1301.3700000000001</v>
      </c>
    </row>
    <row r="5" spans="1:9" ht="18.75" x14ac:dyDescent="0.3">
      <c r="A5" s="74" t="s">
        <v>255</v>
      </c>
      <c r="B5" s="74">
        <f t="shared" si="0"/>
        <v>8520</v>
      </c>
      <c r="C5" s="28"/>
      <c r="D5" s="8">
        <f>660</f>
        <v>660</v>
      </c>
      <c r="E5" s="8">
        <f>1320+630</f>
        <v>1950</v>
      </c>
      <c r="F5" s="8">
        <f>966</f>
        <v>966</v>
      </c>
      <c r="G5" s="8">
        <f>1011+345</f>
        <v>1356</v>
      </c>
      <c r="H5" s="8">
        <f>483+552+414+552</f>
        <v>2001</v>
      </c>
      <c r="I5" s="8">
        <f>483+552+552</f>
        <v>1587</v>
      </c>
    </row>
    <row r="6" spans="1:9" ht="18.75" x14ac:dyDescent="0.3">
      <c r="A6" s="74" t="s">
        <v>164</v>
      </c>
      <c r="B6" s="74">
        <f t="shared" si="0"/>
        <v>66791.710000000006</v>
      </c>
      <c r="C6" s="28"/>
      <c r="D6" s="8">
        <v>66791.710000000006</v>
      </c>
      <c r="E6" s="8"/>
      <c r="F6" s="8"/>
      <c r="G6" s="8"/>
      <c r="H6" s="8"/>
      <c r="I6" s="8"/>
    </row>
    <row r="7" spans="1:9" s="18" customFormat="1" ht="18.75" x14ac:dyDescent="0.3">
      <c r="A7" s="99" t="s">
        <v>14</v>
      </c>
      <c r="B7" s="74">
        <f t="shared" si="0"/>
        <v>17220.419999999998</v>
      </c>
      <c r="C7" s="29">
        <f>2700+1720.42+2700+2800+1500</f>
        <v>11420.42</v>
      </c>
      <c r="D7" s="24"/>
      <c r="E7" s="24"/>
      <c r="F7" s="24"/>
      <c r="G7" s="24">
        <v>1500</v>
      </c>
      <c r="H7" s="24">
        <f>1500+2800</f>
        <v>4300</v>
      </c>
      <c r="I7" s="24"/>
    </row>
    <row r="8" spans="1:9" s="18" customFormat="1" ht="18.75" x14ac:dyDescent="0.3">
      <c r="A8" s="99" t="s">
        <v>315</v>
      </c>
      <c r="B8" s="74">
        <f t="shared" si="0"/>
        <v>390</v>
      </c>
      <c r="C8" s="29"/>
      <c r="D8" s="24"/>
      <c r="E8" s="24"/>
      <c r="F8" s="24">
        <v>390</v>
      </c>
      <c r="G8" s="24"/>
      <c r="H8" s="24"/>
      <c r="I8" s="24"/>
    </row>
    <row r="9" spans="1:9" ht="18.75" x14ac:dyDescent="0.3">
      <c r="A9" s="74" t="s">
        <v>251</v>
      </c>
      <c r="B9" s="74">
        <f t="shared" si="0"/>
        <v>888</v>
      </c>
      <c r="C9" s="28"/>
      <c r="D9" s="8"/>
      <c r="E9" s="8"/>
      <c r="F9" s="8">
        <v>888</v>
      </c>
      <c r="G9" s="8"/>
      <c r="H9" s="8"/>
      <c r="I9" s="8"/>
    </row>
    <row r="10" spans="1:9" s="18" customFormat="1" ht="18.75" x14ac:dyDescent="0.3">
      <c r="A10" s="99" t="s">
        <v>23</v>
      </c>
      <c r="B10" s="74">
        <f t="shared" si="0"/>
        <v>1468.8</v>
      </c>
      <c r="C10" s="29"/>
      <c r="D10" s="24"/>
      <c r="E10" s="24"/>
      <c r="F10" s="24"/>
      <c r="G10" s="24"/>
      <c r="H10" s="24"/>
      <c r="I10" s="24">
        <v>1468.8</v>
      </c>
    </row>
    <row r="11" spans="1:9" ht="18.75" x14ac:dyDescent="0.3">
      <c r="A11" s="74" t="s">
        <v>257</v>
      </c>
      <c r="B11" s="74">
        <f t="shared" si="0"/>
        <v>619.25</v>
      </c>
      <c r="C11" s="28"/>
      <c r="D11" s="8"/>
      <c r="E11" s="8"/>
      <c r="F11" s="8"/>
      <c r="G11" s="8"/>
      <c r="H11" s="8"/>
      <c r="I11" s="8">
        <f>527.31+91.94</f>
        <v>619.25</v>
      </c>
    </row>
    <row r="12" spans="1:9" s="18" customFormat="1" ht="18.75" x14ac:dyDescent="0.3">
      <c r="A12" s="99" t="s">
        <v>130</v>
      </c>
      <c r="B12" s="74">
        <f t="shared" si="0"/>
        <v>1093.24</v>
      </c>
      <c r="C12" s="29">
        <f>783.93+309.31</f>
        <v>1093.24</v>
      </c>
      <c r="D12" s="24"/>
      <c r="E12" s="24"/>
      <c r="F12" s="24"/>
      <c r="G12" s="24"/>
      <c r="H12" s="24"/>
      <c r="I12" s="24"/>
    </row>
    <row r="13" spans="1:9" s="18" customFormat="1" ht="18.75" x14ac:dyDescent="0.3">
      <c r="A13" s="99" t="s">
        <v>8</v>
      </c>
      <c r="B13" s="74">
        <v>178842.43</v>
      </c>
      <c r="C13" s="29">
        <f>5270.2+1253.74+5318.24+1200.64+6663.97+1833.57+4992.68+5017.95+3420.87+5165.05+5655.25+3329.34+2736.6+2401.56+354.92+1726.7+504.36+392.28+326.9+438.98+1049.7+326.9+1419.3+420.3+467+467+279.84+3832.8</f>
        <v>66266.64</v>
      </c>
      <c r="D13" s="24">
        <f>700.5+410.4+7988.76</f>
        <v>9099.66</v>
      </c>
      <c r="E13" s="24"/>
      <c r="F13" s="24">
        <f>601.87</f>
        <v>601.87</v>
      </c>
      <c r="G13" s="24">
        <f>4581.41+7978.88+587.47</f>
        <v>13147.76</v>
      </c>
      <c r="H13" s="24">
        <f>445.66+445.2+2484+1444.5+2129.98+2505.6+3872.76</f>
        <v>13327.7</v>
      </c>
      <c r="I13" s="24">
        <f>1900.31+1267.21+1523.18+3163.95+891.97+644.1+3591.4+77.1+4415.15</f>
        <v>17474.37</v>
      </c>
    </row>
    <row r="14" spans="1:9" ht="18.75" x14ac:dyDescent="0.3">
      <c r="A14" s="74" t="s">
        <v>234</v>
      </c>
      <c r="B14" s="74">
        <f>SUM(C14:I14)</f>
        <v>877.75</v>
      </c>
      <c r="C14" s="28"/>
      <c r="D14" s="8"/>
      <c r="E14" s="8"/>
      <c r="F14" s="8"/>
      <c r="G14" s="8"/>
      <c r="H14" s="8"/>
      <c r="I14" s="8">
        <v>877.75</v>
      </c>
    </row>
    <row r="15" spans="1:9" ht="18.75" x14ac:dyDescent="0.3">
      <c r="A15" s="74" t="s">
        <v>259</v>
      </c>
      <c r="B15" s="74">
        <v>9393.24</v>
      </c>
      <c r="C15" s="28"/>
      <c r="D15" s="8"/>
      <c r="E15" s="8"/>
      <c r="F15" s="8">
        <v>1425.48</v>
      </c>
      <c r="G15" s="8"/>
      <c r="H15" s="8"/>
      <c r="I15" s="8"/>
    </row>
    <row r="16" spans="1:9" ht="18.75" x14ac:dyDescent="0.3">
      <c r="A16" s="74" t="s">
        <v>162</v>
      </c>
      <c r="B16" s="74">
        <f>SUM(C16:I16)</f>
        <v>3120</v>
      </c>
      <c r="C16" s="28"/>
      <c r="D16" s="8">
        <v>3120</v>
      </c>
      <c r="E16" s="8"/>
      <c r="F16" s="8"/>
      <c r="G16" s="8"/>
      <c r="H16" s="8"/>
      <c r="I16" s="8"/>
    </row>
    <row r="17" spans="1:9" s="18" customFormat="1" ht="18.75" x14ac:dyDescent="0.3">
      <c r="A17" s="99" t="s">
        <v>260</v>
      </c>
      <c r="B17" s="74">
        <f>SUM(C17:I17)</f>
        <v>17493</v>
      </c>
      <c r="C17" s="29">
        <f>2880+2171+1084+1502+1305+560+1166+459</f>
        <v>11127</v>
      </c>
      <c r="D17" s="24"/>
      <c r="E17" s="24"/>
      <c r="F17" s="24">
        <v>3282</v>
      </c>
      <c r="G17" s="24">
        <v>1159</v>
      </c>
      <c r="H17" s="24">
        <f>491+1084</f>
        <v>1575</v>
      </c>
      <c r="I17" s="24">
        <v>350</v>
      </c>
    </row>
    <row r="18" spans="1:9" s="18" customFormat="1" ht="18.75" x14ac:dyDescent="0.3">
      <c r="A18" s="99" t="s">
        <v>331</v>
      </c>
      <c r="B18" s="99">
        <v>5162.0200000000004</v>
      </c>
      <c r="C18" s="29"/>
      <c r="D18" s="24"/>
      <c r="E18" s="24">
        <v>1504.93</v>
      </c>
      <c r="F18" s="24"/>
      <c r="G18" s="24"/>
      <c r="H18" s="24"/>
      <c r="I18" s="24"/>
    </row>
    <row r="19" spans="1:9" s="18" customFormat="1" ht="18.75" x14ac:dyDescent="0.3">
      <c r="A19" s="99" t="s">
        <v>244</v>
      </c>
      <c r="B19" s="74">
        <f>SUM(C19:I19)</f>
        <v>5876</v>
      </c>
      <c r="C19" s="29">
        <f>355+400+355+355+500+355+355</f>
        <v>2675</v>
      </c>
      <c r="D19" s="24">
        <f>200+258</f>
        <v>458</v>
      </c>
      <c r="E19" s="24">
        <f>399+355</f>
        <v>754</v>
      </c>
      <c r="F19" s="24">
        <f>351</f>
        <v>351</v>
      </c>
      <c r="G19" s="24">
        <f>300+288+350</f>
        <v>938</v>
      </c>
      <c r="H19" s="24">
        <f>700</f>
        <v>700</v>
      </c>
      <c r="I19" s="24"/>
    </row>
    <row r="20" spans="1:9" ht="18.75" x14ac:dyDescent="0.3">
      <c r="A20" s="74" t="s">
        <v>261</v>
      </c>
      <c r="B20" s="74">
        <f>SUM(C20:I20)</f>
        <v>16000</v>
      </c>
      <c r="C20" s="28"/>
      <c r="D20" s="8"/>
      <c r="E20" s="8"/>
      <c r="F20" s="8">
        <v>16000</v>
      </c>
      <c r="G20" s="8"/>
      <c r="H20" s="8"/>
      <c r="I20" s="8"/>
    </row>
    <row r="21" spans="1:9" ht="18.75" x14ac:dyDescent="0.3">
      <c r="A21" s="74" t="s">
        <v>243</v>
      </c>
      <c r="B21" s="74">
        <f>SUM(C21:I21)</f>
        <v>2094.16</v>
      </c>
      <c r="C21" s="28"/>
      <c r="D21" s="8"/>
      <c r="E21" s="8"/>
      <c r="F21" s="8">
        <v>2094.16</v>
      </c>
      <c r="G21" s="8"/>
      <c r="H21" s="8"/>
      <c r="I21" s="8"/>
    </row>
    <row r="22" spans="1:9" s="18" customFormat="1" ht="18.75" x14ac:dyDescent="0.3">
      <c r="A22" s="99" t="s">
        <v>318</v>
      </c>
      <c r="B22" s="74">
        <f t="shared" ref="B22:B50" si="1">SUM(C22:I22)</f>
        <v>30910.959999999995</v>
      </c>
      <c r="C22" s="29">
        <f>387+5708.9+120+239.61+9059.9+231+379.8</f>
        <v>16126.21</v>
      </c>
      <c r="D22" s="24">
        <f>64.92+356</f>
        <v>420.92</v>
      </c>
      <c r="E22" s="24"/>
      <c r="F22" s="24">
        <f>2583.85+194.4</f>
        <v>2778.25</v>
      </c>
      <c r="G22" s="24">
        <f>2394.66+467.95+1304.27+1130.25+139.24</f>
        <v>5436.369999999999</v>
      </c>
      <c r="H22" s="24">
        <f>440.8+664.25+893.05+100</f>
        <v>2098.1</v>
      </c>
      <c r="I22" s="24">
        <f>1527.9+2267.16+256.05</f>
        <v>4051.11</v>
      </c>
    </row>
    <row r="23" spans="1:9" s="18" customFormat="1" ht="18.75" x14ac:dyDescent="0.3">
      <c r="A23" s="99" t="s">
        <v>10</v>
      </c>
      <c r="B23" s="74">
        <f t="shared" si="1"/>
        <v>13798.179999999998</v>
      </c>
      <c r="C23" s="29">
        <f>2592+1050+500+285+4805.94+1200+537.18</f>
        <v>10970.119999999999</v>
      </c>
      <c r="D23" s="24"/>
      <c r="E23" s="24">
        <v>1280</v>
      </c>
      <c r="F23" s="24"/>
      <c r="G23" s="24"/>
      <c r="H23" s="24"/>
      <c r="I23" s="24">
        <f>1040+508.06</f>
        <v>1548.06</v>
      </c>
    </row>
    <row r="24" spans="1:9" s="18" customFormat="1" ht="18.75" x14ac:dyDescent="0.3">
      <c r="A24" s="99" t="s">
        <v>143</v>
      </c>
      <c r="B24" s="74">
        <f t="shared" si="1"/>
        <v>6424.13</v>
      </c>
      <c r="C24" s="29">
        <f>670.5+2120.13+896.9+2736.6</f>
        <v>6424.13</v>
      </c>
      <c r="D24" s="24"/>
      <c r="E24" s="24"/>
      <c r="F24" s="24"/>
      <c r="G24" s="24"/>
      <c r="H24" s="24"/>
      <c r="I24" s="24"/>
    </row>
    <row r="25" spans="1:9" s="18" customFormat="1" ht="18.75" x14ac:dyDescent="0.3">
      <c r="A25" s="99" t="s">
        <v>21</v>
      </c>
      <c r="B25" s="74">
        <f t="shared" si="1"/>
        <v>630</v>
      </c>
      <c r="C25" s="29"/>
      <c r="D25" s="24"/>
      <c r="E25" s="24">
        <v>630</v>
      </c>
      <c r="F25" s="24"/>
      <c r="G25" s="24"/>
      <c r="H25" s="24"/>
      <c r="I25" s="24"/>
    </row>
    <row r="26" spans="1:9" s="18" customFormat="1" ht="18.75" x14ac:dyDescent="0.3">
      <c r="A26" s="99" t="s">
        <v>145</v>
      </c>
      <c r="B26" s="74">
        <f t="shared" si="1"/>
        <v>14700</v>
      </c>
      <c r="C26" s="29">
        <v>14700</v>
      </c>
      <c r="D26" s="24"/>
      <c r="E26" s="24"/>
      <c r="F26" s="24"/>
      <c r="G26" s="24"/>
      <c r="H26" s="24"/>
      <c r="I26" s="24"/>
    </row>
    <row r="27" spans="1:9" ht="18.75" x14ac:dyDescent="0.3">
      <c r="A27" s="74" t="s">
        <v>219</v>
      </c>
      <c r="B27" s="74">
        <f t="shared" si="1"/>
        <v>15029.5</v>
      </c>
      <c r="C27" s="28"/>
      <c r="D27" s="8"/>
      <c r="E27" s="8"/>
      <c r="F27" s="8"/>
      <c r="G27" s="8">
        <v>15029.5</v>
      </c>
      <c r="H27" s="8"/>
      <c r="I27" s="8"/>
    </row>
    <row r="28" spans="1:9" s="18" customFormat="1" ht="18.75" x14ac:dyDescent="0.3">
      <c r="A28" s="99" t="s">
        <v>126</v>
      </c>
      <c r="B28" s="74">
        <f t="shared" si="1"/>
        <v>3089</v>
      </c>
      <c r="C28" s="29">
        <v>233</v>
      </c>
      <c r="D28" s="24"/>
      <c r="E28" s="24">
        <v>660</v>
      </c>
      <c r="F28" s="24">
        <v>2196</v>
      </c>
      <c r="G28" s="24"/>
      <c r="H28" s="24"/>
      <c r="I28" s="24"/>
    </row>
    <row r="29" spans="1:9" ht="18.75" x14ac:dyDescent="0.3">
      <c r="A29" s="74" t="s">
        <v>221</v>
      </c>
      <c r="B29" s="74">
        <f t="shared" si="1"/>
        <v>9714.48</v>
      </c>
      <c r="C29" s="28"/>
      <c r="D29" s="8"/>
      <c r="E29" s="8"/>
      <c r="F29" s="8"/>
      <c r="G29" s="8">
        <v>9714.48</v>
      </c>
      <c r="H29" s="8"/>
      <c r="I29" s="8"/>
    </row>
    <row r="30" spans="1:9" s="18" customFormat="1" ht="18.75" x14ac:dyDescent="0.3">
      <c r="A30" s="99" t="s">
        <v>118</v>
      </c>
      <c r="B30" s="74">
        <f t="shared" si="1"/>
        <v>454.2</v>
      </c>
      <c r="C30" s="29"/>
      <c r="D30" s="24"/>
      <c r="E30" s="24"/>
      <c r="F30" s="24"/>
      <c r="G30" s="24"/>
      <c r="H30" s="24"/>
      <c r="I30" s="24">
        <v>454.2</v>
      </c>
    </row>
    <row r="31" spans="1:9" s="18" customFormat="1" ht="18.75" x14ac:dyDescent="0.3">
      <c r="A31" s="99" t="s">
        <v>94</v>
      </c>
      <c r="B31" s="74">
        <f t="shared" si="1"/>
        <v>1030</v>
      </c>
      <c r="C31" s="29"/>
      <c r="D31" s="24"/>
      <c r="E31" s="24"/>
      <c r="F31" s="24"/>
      <c r="G31" s="24"/>
      <c r="H31" s="24">
        <v>1030</v>
      </c>
      <c r="I31" s="24"/>
    </row>
    <row r="32" spans="1:9" ht="18.75" x14ac:dyDescent="0.3">
      <c r="A32" s="74" t="s">
        <v>197</v>
      </c>
      <c r="B32" s="74">
        <f t="shared" si="1"/>
        <v>162.6</v>
      </c>
      <c r="C32" s="28"/>
      <c r="D32" s="8"/>
      <c r="E32" s="8">
        <v>162.6</v>
      </c>
      <c r="F32" s="8"/>
      <c r="G32" s="8"/>
      <c r="H32" s="8"/>
      <c r="I32" s="8"/>
    </row>
    <row r="33" spans="1:9" ht="18.75" x14ac:dyDescent="0.3">
      <c r="A33" s="74" t="s">
        <v>263</v>
      </c>
      <c r="B33" s="74">
        <f t="shared" si="1"/>
        <v>5731.2</v>
      </c>
      <c r="C33" s="28"/>
      <c r="D33" s="8">
        <v>5731.2</v>
      </c>
      <c r="E33" s="8"/>
      <c r="F33" s="8"/>
      <c r="G33" s="8"/>
      <c r="H33" s="8"/>
      <c r="I33" s="8"/>
    </row>
    <row r="34" spans="1:9" s="18" customFormat="1" ht="18.75" x14ac:dyDescent="0.3">
      <c r="A34" s="99" t="s">
        <v>106</v>
      </c>
      <c r="B34" s="74">
        <f t="shared" si="1"/>
        <v>1280</v>
      </c>
      <c r="C34" s="29">
        <f>1280</f>
        <v>1280</v>
      </c>
      <c r="D34" s="24"/>
      <c r="E34" s="24"/>
      <c r="F34" s="24"/>
      <c r="G34" s="24"/>
      <c r="H34" s="24"/>
      <c r="I34" s="24"/>
    </row>
    <row r="35" spans="1:9" s="18" customFormat="1" ht="18.75" x14ac:dyDescent="0.3">
      <c r="A35" s="99" t="s">
        <v>75</v>
      </c>
      <c r="B35" s="74">
        <f t="shared" si="1"/>
        <v>2210</v>
      </c>
      <c r="C35" s="29"/>
      <c r="D35" s="24"/>
      <c r="E35" s="24"/>
      <c r="F35" s="24"/>
      <c r="G35" s="24"/>
      <c r="H35" s="24">
        <v>2210</v>
      </c>
      <c r="I35" s="24"/>
    </row>
    <row r="36" spans="1:9" ht="18.75" x14ac:dyDescent="0.3">
      <c r="A36" s="74" t="s">
        <v>241</v>
      </c>
      <c r="B36" s="74">
        <f t="shared" si="1"/>
        <v>10605</v>
      </c>
      <c r="C36" s="28"/>
      <c r="D36" s="8">
        <v>10605</v>
      </c>
      <c r="E36" s="8"/>
      <c r="F36" s="8"/>
      <c r="G36" s="8"/>
      <c r="H36" s="8"/>
      <c r="I36" s="8"/>
    </row>
    <row r="37" spans="1:9" ht="18.75" x14ac:dyDescent="0.3">
      <c r="A37" s="74" t="s">
        <v>180</v>
      </c>
      <c r="B37" s="74">
        <f t="shared" si="1"/>
        <v>6722</v>
      </c>
      <c r="C37" s="28"/>
      <c r="D37" s="8">
        <v>1622</v>
      </c>
      <c r="E37" s="8">
        <v>5100</v>
      </c>
      <c r="F37" s="8"/>
      <c r="G37" s="8"/>
      <c r="H37" s="8"/>
      <c r="I37" s="8"/>
    </row>
    <row r="38" spans="1:9" s="18" customFormat="1" ht="18.75" x14ac:dyDescent="0.3">
      <c r="A38" s="99" t="s">
        <v>266</v>
      </c>
      <c r="B38" s="74">
        <f t="shared" si="1"/>
        <v>1776.09</v>
      </c>
      <c r="C38" s="29"/>
      <c r="D38" s="24"/>
      <c r="E38" s="24"/>
      <c r="F38" s="24">
        <f>1301.07+228.61</f>
        <v>1529.6799999999998</v>
      </c>
      <c r="G38" s="24">
        <f>246.41</f>
        <v>246.41</v>
      </c>
      <c r="H38" s="24"/>
      <c r="I38" s="24"/>
    </row>
    <row r="39" spans="1:9" s="18" customFormat="1" ht="18.75" x14ac:dyDescent="0.3">
      <c r="A39" s="99" t="s">
        <v>296</v>
      </c>
      <c r="B39" s="74">
        <f>SUM(C39:I39)</f>
        <v>336</v>
      </c>
      <c r="C39" s="29">
        <v>336</v>
      </c>
      <c r="D39" s="24"/>
      <c r="E39" s="24"/>
      <c r="F39" s="24"/>
      <c r="G39" s="24"/>
      <c r="H39" s="24"/>
      <c r="I39" s="24"/>
    </row>
    <row r="40" spans="1:9" s="18" customFormat="1" ht="18.75" x14ac:dyDescent="0.3">
      <c r="A40" s="99" t="s">
        <v>267</v>
      </c>
      <c r="B40" s="74">
        <f t="shared" si="1"/>
        <v>339.8</v>
      </c>
      <c r="C40" s="29"/>
      <c r="D40" s="24"/>
      <c r="E40" s="24"/>
      <c r="F40" s="24"/>
      <c r="G40" s="24">
        <v>339.8</v>
      </c>
      <c r="H40" s="24"/>
      <c r="I40" s="24"/>
    </row>
    <row r="41" spans="1:9" s="18" customFormat="1" ht="18.75" x14ac:dyDescent="0.3">
      <c r="A41" s="99" t="s">
        <v>268</v>
      </c>
      <c r="B41" s="74">
        <f t="shared" si="1"/>
        <v>51638.91</v>
      </c>
      <c r="C41" s="29">
        <f>2771.33+11525.1+6842.6+366</f>
        <v>21505.03</v>
      </c>
      <c r="D41" s="24"/>
      <c r="E41" s="24">
        <f>897.08+290.31+4731.2</f>
        <v>5918.59</v>
      </c>
      <c r="F41" s="24">
        <v>461.43</v>
      </c>
      <c r="G41" s="24">
        <f>2380.44</f>
        <v>2380.44</v>
      </c>
      <c r="H41" s="24">
        <f>17425.36+3948.06</f>
        <v>21373.420000000002</v>
      </c>
      <c r="I41" s="24"/>
    </row>
    <row r="42" spans="1:9" ht="18.75" x14ac:dyDescent="0.3">
      <c r="A42" s="99" t="s">
        <v>300</v>
      </c>
      <c r="B42" s="74">
        <f t="shared" si="1"/>
        <v>19368</v>
      </c>
      <c r="C42" s="28"/>
      <c r="D42" s="8">
        <v>19368</v>
      </c>
      <c r="E42" s="8"/>
      <c r="F42" s="8"/>
      <c r="G42" s="8"/>
      <c r="H42" s="8"/>
      <c r="I42" s="8"/>
    </row>
    <row r="43" spans="1:9" ht="18.75" x14ac:dyDescent="0.3">
      <c r="A43" s="74" t="s">
        <v>163</v>
      </c>
      <c r="B43" s="74">
        <f t="shared" si="1"/>
        <v>3699</v>
      </c>
      <c r="C43" s="28"/>
      <c r="D43" s="8">
        <v>3699</v>
      </c>
      <c r="E43" s="8"/>
      <c r="F43" s="8"/>
      <c r="G43" s="8"/>
      <c r="H43" s="8"/>
      <c r="I43" s="8"/>
    </row>
    <row r="44" spans="1:9" ht="18.75" x14ac:dyDescent="0.3">
      <c r="A44" s="74" t="s">
        <v>273</v>
      </c>
      <c r="B44" s="74">
        <f t="shared" si="1"/>
        <v>6144</v>
      </c>
      <c r="C44" s="28"/>
      <c r="D44" s="8"/>
      <c r="E44" s="8"/>
      <c r="F44" s="8"/>
      <c r="G44" s="8"/>
      <c r="H44" s="8">
        <v>6144</v>
      </c>
      <c r="I44" s="8"/>
    </row>
    <row r="45" spans="1:9" ht="18.75" x14ac:dyDescent="0.3">
      <c r="A45" s="74" t="s">
        <v>218</v>
      </c>
      <c r="B45" s="74">
        <f t="shared" si="1"/>
        <v>800</v>
      </c>
      <c r="C45" s="28"/>
      <c r="D45" s="8"/>
      <c r="E45" s="8"/>
      <c r="F45" s="8">
        <v>400</v>
      </c>
      <c r="G45" s="8">
        <v>400</v>
      </c>
      <c r="H45" s="8"/>
      <c r="I45" s="8"/>
    </row>
    <row r="46" spans="1:9" ht="18.75" x14ac:dyDescent="0.3">
      <c r="A46" s="74" t="s">
        <v>274</v>
      </c>
      <c r="B46" s="74">
        <f t="shared" si="1"/>
        <v>439.92</v>
      </c>
      <c r="C46" s="28"/>
      <c r="D46" s="8"/>
      <c r="E46" s="8"/>
      <c r="F46" s="8"/>
      <c r="G46" s="8"/>
      <c r="H46" s="8">
        <v>439.92</v>
      </c>
      <c r="I46" s="8"/>
    </row>
    <row r="47" spans="1:9" s="18" customFormat="1" ht="18.75" x14ac:dyDescent="0.3">
      <c r="A47" s="100" t="s">
        <v>17</v>
      </c>
      <c r="B47" s="74">
        <f t="shared" si="1"/>
        <v>50432.369999999995</v>
      </c>
      <c r="C47" s="29">
        <f>25358.89+6370+6039.48+2570</f>
        <v>40338.369999999995</v>
      </c>
      <c r="D47" s="24">
        <v>1920</v>
      </c>
      <c r="E47" s="24"/>
      <c r="F47" s="24">
        <v>494</v>
      </c>
      <c r="G47" s="24">
        <v>3840</v>
      </c>
      <c r="H47" s="24">
        <f>1920</f>
        <v>1920</v>
      </c>
      <c r="I47" s="24">
        <v>1920</v>
      </c>
    </row>
    <row r="48" spans="1:9" s="18" customFormat="1" ht="18.75" x14ac:dyDescent="0.3">
      <c r="A48" s="99" t="s">
        <v>275</v>
      </c>
      <c r="B48" s="74">
        <f t="shared" si="1"/>
        <v>1592.8</v>
      </c>
      <c r="C48" s="29">
        <f>1592.8</f>
        <v>1592.8</v>
      </c>
      <c r="D48" s="24"/>
      <c r="E48" s="24"/>
      <c r="F48" s="24"/>
      <c r="G48" s="24"/>
      <c r="H48" s="24"/>
      <c r="I48" s="24"/>
    </row>
    <row r="49" spans="1:9" s="18" customFormat="1" ht="18.75" x14ac:dyDescent="0.3">
      <c r="A49" s="99" t="s">
        <v>63</v>
      </c>
      <c r="B49" s="74">
        <f t="shared" si="1"/>
        <v>2400</v>
      </c>
      <c r="C49" s="29"/>
      <c r="D49" s="24"/>
      <c r="E49" s="24"/>
      <c r="F49" s="24"/>
      <c r="G49" s="24"/>
      <c r="H49" s="24">
        <v>2400</v>
      </c>
      <c r="I49" s="24"/>
    </row>
    <row r="50" spans="1:9" ht="18.75" x14ac:dyDescent="0.3">
      <c r="A50" s="74" t="s">
        <v>276</v>
      </c>
      <c r="B50" s="74">
        <f t="shared" si="1"/>
        <v>1322</v>
      </c>
      <c r="C50" s="28"/>
      <c r="D50" s="8"/>
      <c r="E50" s="8"/>
      <c r="F50" s="8">
        <v>292</v>
      </c>
      <c r="G50" s="8">
        <v>292</v>
      </c>
      <c r="H50" s="8">
        <v>402</v>
      </c>
      <c r="I50" s="8">
        <v>336</v>
      </c>
    </row>
    <row r="51" spans="1:9" ht="18.75" x14ac:dyDescent="0.3">
      <c r="A51" s="74" t="s">
        <v>278</v>
      </c>
      <c r="B51" s="74">
        <f t="shared" ref="B51:B70" si="2">SUM(C51:I51)</f>
        <v>535.38</v>
      </c>
      <c r="C51" s="28"/>
      <c r="D51" s="8"/>
      <c r="E51" s="8"/>
      <c r="F51" s="8">
        <v>535.38</v>
      </c>
      <c r="G51" s="8"/>
      <c r="H51" s="8"/>
      <c r="I51" s="8"/>
    </row>
    <row r="52" spans="1:9" s="18" customFormat="1" ht="18.75" x14ac:dyDescent="0.3">
      <c r="A52" s="99" t="s">
        <v>311</v>
      </c>
      <c r="B52" s="74">
        <f t="shared" si="2"/>
        <v>17094</v>
      </c>
      <c r="C52" s="29">
        <v>17094</v>
      </c>
      <c r="D52" s="24"/>
      <c r="E52" s="24"/>
      <c r="F52" s="24"/>
      <c r="G52" s="24"/>
      <c r="H52" s="24"/>
      <c r="I52" s="24"/>
    </row>
    <row r="53" spans="1:9" ht="18.75" x14ac:dyDescent="0.3">
      <c r="A53" s="74" t="s">
        <v>281</v>
      </c>
      <c r="B53" s="74">
        <f t="shared" si="2"/>
        <v>950</v>
      </c>
      <c r="C53" s="28"/>
      <c r="D53" s="8"/>
      <c r="E53" s="8">
        <v>950</v>
      </c>
      <c r="F53" s="8"/>
      <c r="G53" s="8"/>
      <c r="H53" s="8"/>
      <c r="I53" s="8"/>
    </row>
    <row r="54" spans="1:9" s="18" customFormat="1" ht="18.75" x14ac:dyDescent="0.3">
      <c r="A54" s="99" t="s">
        <v>282</v>
      </c>
      <c r="B54" s="74">
        <f t="shared" si="2"/>
        <v>17530</v>
      </c>
      <c r="C54" s="29">
        <f>350+1738+650+3182+3360+1300+700+350+650+650+700+650</f>
        <v>14280</v>
      </c>
      <c r="D54" s="24"/>
      <c r="E54" s="24">
        <f>650</f>
        <v>650</v>
      </c>
      <c r="F54" s="24">
        <v>650</v>
      </c>
      <c r="G54" s="24">
        <v>650</v>
      </c>
      <c r="H54" s="24">
        <f>650</f>
        <v>650</v>
      </c>
      <c r="I54" s="24">
        <v>650</v>
      </c>
    </row>
    <row r="55" spans="1:9" ht="18.75" x14ac:dyDescent="0.3">
      <c r="A55" s="74" t="s">
        <v>231</v>
      </c>
      <c r="B55" s="74">
        <f t="shared" si="2"/>
        <v>900</v>
      </c>
      <c r="C55" s="28"/>
      <c r="D55" s="8"/>
      <c r="E55" s="8"/>
      <c r="F55" s="8"/>
      <c r="G55" s="8"/>
      <c r="H55" s="8">
        <f>900</f>
        <v>900</v>
      </c>
      <c r="I55" s="8"/>
    </row>
    <row r="56" spans="1:9" s="18" customFormat="1" ht="18.75" x14ac:dyDescent="0.3">
      <c r="A56" s="99" t="s">
        <v>33</v>
      </c>
      <c r="B56" s="74">
        <f t="shared" si="2"/>
        <v>1659</v>
      </c>
      <c r="C56" s="29">
        <f>35+66+37+20+344+45+22+69</f>
        <v>638</v>
      </c>
      <c r="D56" s="24"/>
      <c r="E56" s="24">
        <f>70</f>
        <v>70</v>
      </c>
      <c r="F56" s="24">
        <f>200+60+26+47+75+53</f>
        <v>461</v>
      </c>
      <c r="G56" s="24">
        <f>45</f>
        <v>45</v>
      </c>
      <c r="H56" s="24">
        <f>32+300</f>
        <v>332</v>
      </c>
      <c r="I56" s="24">
        <f>51+62</f>
        <v>113</v>
      </c>
    </row>
    <row r="57" spans="1:9" s="18" customFormat="1" ht="18.75" x14ac:dyDescent="0.3">
      <c r="A57" s="99" t="s">
        <v>3</v>
      </c>
      <c r="B57" s="74">
        <f t="shared" si="2"/>
        <v>206406</v>
      </c>
      <c r="C57" s="29">
        <f>32120+16060+16060+16060</f>
        <v>80300</v>
      </c>
      <c r="D57" s="24">
        <f>1686+16060+16060</f>
        <v>33806</v>
      </c>
      <c r="E57" s="24"/>
      <c r="F57" s="24">
        <v>16060</v>
      </c>
      <c r="G57" s="24">
        <v>19060</v>
      </c>
      <c r="H57" s="24">
        <v>19060</v>
      </c>
      <c r="I57" s="24">
        <f>19060+19060</f>
        <v>38120</v>
      </c>
    </row>
    <row r="58" spans="1:9" s="18" customFormat="1" ht="18.75" x14ac:dyDescent="0.3">
      <c r="A58" s="99" t="s">
        <v>25</v>
      </c>
      <c r="B58" s="74">
        <f t="shared" si="2"/>
        <v>6122.2</v>
      </c>
      <c r="C58" s="29">
        <f>433.77+867.54+500+500</f>
        <v>2301.31</v>
      </c>
      <c r="D58" s="24">
        <v>355</v>
      </c>
      <c r="E58" s="24">
        <v>50</v>
      </c>
      <c r="F58" s="24">
        <f>50+799+717.64+500</f>
        <v>2066.64</v>
      </c>
      <c r="G58" s="24"/>
      <c r="H58" s="24">
        <f>700+149.25</f>
        <v>849.25</v>
      </c>
      <c r="I58" s="24">
        <v>500</v>
      </c>
    </row>
    <row r="59" spans="1:9" ht="18.75" x14ac:dyDescent="0.3">
      <c r="A59" s="74" t="s">
        <v>310</v>
      </c>
      <c r="B59" s="74">
        <f t="shared" si="2"/>
        <v>2100</v>
      </c>
      <c r="C59" s="28"/>
      <c r="D59" s="8"/>
      <c r="E59" s="8">
        <v>700</v>
      </c>
      <c r="F59" s="8">
        <v>350</v>
      </c>
      <c r="G59" s="8"/>
      <c r="H59" s="8">
        <f>350+350</f>
        <v>700</v>
      </c>
      <c r="I59" s="8">
        <v>350</v>
      </c>
    </row>
    <row r="60" spans="1:9" s="18" customFormat="1" ht="18.75" x14ac:dyDescent="0.3">
      <c r="A60" s="99" t="s">
        <v>146</v>
      </c>
      <c r="B60" s="74">
        <f t="shared" si="2"/>
        <v>15200.64</v>
      </c>
      <c r="C60" s="29">
        <v>15200.64</v>
      </c>
      <c r="D60" s="24"/>
      <c r="E60" s="24"/>
      <c r="F60" s="24"/>
      <c r="G60" s="24"/>
      <c r="H60" s="24"/>
      <c r="I60" s="24"/>
    </row>
    <row r="61" spans="1:9" s="18" customFormat="1" ht="18.75" x14ac:dyDescent="0.3">
      <c r="A61" s="99" t="s">
        <v>115</v>
      </c>
      <c r="B61" s="74">
        <f t="shared" si="2"/>
        <v>3451.44</v>
      </c>
      <c r="C61" s="29">
        <f>2935.8+515.64</f>
        <v>3451.44</v>
      </c>
      <c r="D61" s="24"/>
      <c r="E61" s="24"/>
      <c r="F61" s="24"/>
      <c r="G61" s="24"/>
      <c r="H61" s="24"/>
      <c r="I61" s="24"/>
    </row>
    <row r="62" spans="1:9" s="18" customFormat="1" ht="18.75" x14ac:dyDescent="0.3">
      <c r="A62" s="99" t="s">
        <v>132</v>
      </c>
      <c r="B62" s="74">
        <f t="shared" si="2"/>
        <v>25681.550000000003</v>
      </c>
      <c r="C62" s="29">
        <f>5334.8+1034.96+993.97+1475.53+499.8+98.94+2650.67+405+11396.47</f>
        <v>23890.14</v>
      </c>
      <c r="D62" s="24"/>
      <c r="E62" s="24"/>
      <c r="F62" s="24">
        <v>455.04</v>
      </c>
      <c r="G62" s="24"/>
      <c r="H62" s="24">
        <f>339.79</f>
        <v>339.79</v>
      </c>
      <c r="I62" s="24">
        <f>47+949.58</f>
        <v>996.58</v>
      </c>
    </row>
    <row r="63" spans="1:9" s="18" customFormat="1" ht="18.75" x14ac:dyDescent="0.3">
      <c r="A63" s="99" t="s">
        <v>139</v>
      </c>
      <c r="B63" s="74">
        <f t="shared" si="2"/>
        <v>2820</v>
      </c>
      <c r="C63" s="29">
        <v>2820</v>
      </c>
      <c r="D63" s="24"/>
      <c r="E63" s="24"/>
      <c r="F63" s="24"/>
      <c r="G63" s="24"/>
      <c r="H63" s="24"/>
      <c r="I63" s="24"/>
    </row>
    <row r="64" spans="1:9" ht="18.75" x14ac:dyDescent="0.3">
      <c r="A64" s="74" t="s">
        <v>195</v>
      </c>
      <c r="B64" s="74">
        <f t="shared" si="2"/>
        <v>205.8</v>
      </c>
      <c r="C64" s="28"/>
      <c r="D64" s="8"/>
      <c r="E64" s="8">
        <f>205.8</f>
        <v>205.8</v>
      </c>
      <c r="F64" s="8"/>
      <c r="G64" s="8"/>
      <c r="H64" s="8"/>
      <c r="I64" s="8"/>
    </row>
    <row r="65" spans="1:9" ht="18.75" x14ac:dyDescent="0.3">
      <c r="A65" s="74" t="s">
        <v>288</v>
      </c>
      <c r="B65" s="74">
        <f t="shared" si="2"/>
        <v>7180.2</v>
      </c>
      <c r="C65" s="28"/>
      <c r="D65" s="8">
        <v>7180.2</v>
      </c>
      <c r="E65" s="8"/>
      <c r="F65" s="8"/>
      <c r="G65" s="8"/>
      <c r="H65" s="8"/>
      <c r="I65" s="8"/>
    </row>
    <row r="66" spans="1:9" s="18" customFormat="1" ht="18.75" x14ac:dyDescent="0.3">
      <c r="A66" s="99" t="s">
        <v>123</v>
      </c>
      <c r="B66" s="74">
        <f t="shared" si="2"/>
        <v>2492.58</v>
      </c>
      <c r="C66" s="29"/>
      <c r="D66" s="24"/>
      <c r="E66" s="24">
        <v>2492.58</v>
      </c>
      <c r="F66" s="24"/>
      <c r="G66" s="24"/>
      <c r="H66" s="24"/>
      <c r="I66" s="24"/>
    </row>
    <row r="67" spans="1:9" s="18" customFormat="1" ht="18.75" x14ac:dyDescent="0.3">
      <c r="A67" s="99" t="s">
        <v>289</v>
      </c>
      <c r="B67" s="74">
        <f t="shared" si="2"/>
        <v>2913.06</v>
      </c>
      <c r="C67" s="29">
        <v>2913.06</v>
      </c>
      <c r="D67" s="24"/>
      <c r="E67" s="24"/>
      <c r="F67" s="24"/>
      <c r="G67" s="24"/>
      <c r="H67" s="24"/>
      <c r="I67" s="24"/>
    </row>
    <row r="68" spans="1:9" ht="18.75" x14ac:dyDescent="0.3">
      <c r="A68" s="74" t="s">
        <v>290</v>
      </c>
      <c r="B68" s="74">
        <f t="shared" si="2"/>
        <v>2300.4</v>
      </c>
      <c r="C68" s="28"/>
      <c r="D68" s="8"/>
      <c r="E68" s="8"/>
      <c r="F68" s="8">
        <v>2300.4</v>
      </c>
      <c r="G68" s="8"/>
      <c r="H68" s="8"/>
      <c r="I68" s="8"/>
    </row>
    <row r="69" spans="1:9" ht="18.75" x14ac:dyDescent="0.3">
      <c r="A69" s="74" t="s">
        <v>232</v>
      </c>
      <c r="B69" s="74">
        <f t="shared" si="2"/>
        <v>1199.8800000000001</v>
      </c>
      <c r="C69" s="28"/>
      <c r="D69" s="8"/>
      <c r="E69" s="8"/>
      <c r="F69" s="8"/>
      <c r="G69" s="8"/>
      <c r="H69" s="8"/>
      <c r="I69" s="8">
        <v>1199.8800000000001</v>
      </c>
    </row>
    <row r="70" spans="1:9" ht="18.75" x14ac:dyDescent="0.3">
      <c r="A70" s="74" t="s">
        <v>189</v>
      </c>
      <c r="B70" s="74">
        <f t="shared" si="2"/>
        <v>252</v>
      </c>
      <c r="C70" s="28"/>
      <c r="D70" s="8">
        <v>252</v>
      </c>
      <c r="E70" s="8"/>
      <c r="F70" s="8"/>
      <c r="G70" s="8"/>
      <c r="H70" s="8"/>
      <c r="I70" s="8"/>
    </row>
    <row r="71" spans="1:9" ht="18.75" x14ac:dyDescent="0.3">
      <c r="A71" s="74" t="s">
        <v>294</v>
      </c>
      <c r="B71" s="74">
        <f t="shared" ref="B71:B73" si="3">SUM(C71:I71)</f>
        <v>13650</v>
      </c>
      <c r="C71" s="28"/>
      <c r="D71" s="8">
        <v>13650</v>
      </c>
      <c r="E71" s="8"/>
      <c r="F71" s="8"/>
      <c r="G71" s="8"/>
      <c r="H71" s="8"/>
      <c r="I71" s="8"/>
    </row>
    <row r="72" spans="1:9" ht="18.75" x14ac:dyDescent="0.3">
      <c r="A72" s="74" t="s">
        <v>222</v>
      </c>
      <c r="B72" s="74">
        <f t="shared" si="3"/>
        <v>2167.0500000000002</v>
      </c>
      <c r="C72" s="28"/>
      <c r="D72" s="8"/>
      <c r="E72" s="8"/>
      <c r="F72" s="8"/>
      <c r="G72" s="8">
        <v>2167.0500000000002</v>
      </c>
      <c r="H72" s="8"/>
      <c r="I72" s="8"/>
    </row>
    <row r="73" spans="1:9" s="18" customFormat="1" ht="18.75" x14ac:dyDescent="0.3">
      <c r="A73" s="99" t="s">
        <v>114</v>
      </c>
      <c r="B73" s="74">
        <f t="shared" si="3"/>
        <v>2155</v>
      </c>
      <c r="C73" s="29"/>
      <c r="D73" s="24"/>
      <c r="E73" s="24"/>
      <c r="F73" s="24">
        <f>450</f>
        <v>450</v>
      </c>
      <c r="G73" s="24">
        <v>360</v>
      </c>
      <c r="H73" s="24">
        <f>240+1105</f>
        <v>1345</v>
      </c>
      <c r="I73" s="24"/>
    </row>
    <row r="74" spans="1:9" ht="18.75" x14ac:dyDescent="0.3">
      <c r="A74" s="74" t="s">
        <v>298</v>
      </c>
      <c r="B74" s="74">
        <f>SUM(C74:I74)</f>
        <v>19200</v>
      </c>
      <c r="C74" s="28"/>
      <c r="D74" s="8">
        <v>19200</v>
      </c>
      <c r="E74" s="8"/>
      <c r="F74" s="8"/>
      <c r="G74" s="8"/>
      <c r="H74" s="8"/>
      <c r="I74" s="8"/>
    </row>
    <row r="75" spans="1:9" ht="18.75" x14ac:dyDescent="0.3">
      <c r="A75" s="98" t="s">
        <v>336</v>
      </c>
      <c r="B75" s="98">
        <f>SUM(B4:B74)</f>
        <v>954531.51000000013</v>
      </c>
      <c r="C75" s="28"/>
      <c r="D75" s="8"/>
      <c r="E75" s="8"/>
      <c r="F75" s="8"/>
      <c r="G75" s="8"/>
      <c r="H75" s="8"/>
      <c r="I75" s="8"/>
    </row>
  </sheetData>
  <mergeCells count="1">
    <mergeCell ref="A1:B1"/>
  </mergeCells>
  <pageMargins left="0.38" right="0.2" top="0.24" bottom="0.25" header="0.24" footer="0.2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42" workbookViewId="0">
      <selection activeCell="N52" sqref="N52"/>
    </sheetView>
  </sheetViews>
  <sheetFormatPr defaultColWidth="8.85546875" defaultRowHeight="15" x14ac:dyDescent="0.25"/>
  <cols>
    <col min="1" max="1" width="78.7109375" customWidth="1"/>
    <col min="2" max="2" width="16.28515625" style="104" customWidth="1"/>
    <col min="3" max="3" width="12" hidden="1" customWidth="1"/>
    <col min="4" max="4" width="10.28515625" hidden="1" customWidth="1"/>
    <col min="5" max="5" width="9.140625" hidden="1" customWidth="1"/>
    <col min="6" max="6" width="10.140625" hidden="1" customWidth="1"/>
    <col min="7" max="9" width="10.28515625" hidden="1" customWidth="1"/>
  </cols>
  <sheetData>
    <row r="1" spans="1:9" ht="32.25" customHeight="1" x14ac:dyDescent="0.3">
      <c r="A1" s="154" t="s">
        <v>395</v>
      </c>
      <c r="B1" s="154"/>
    </row>
    <row r="2" spans="1:9" ht="39" customHeight="1" x14ac:dyDescent="0.35">
      <c r="A2" s="151" t="s">
        <v>348</v>
      </c>
      <c r="B2" s="152"/>
      <c r="C2" s="103"/>
    </row>
    <row r="3" spans="1:9" s="111" customFormat="1" ht="18.75" x14ac:dyDescent="0.3">
      <c r="A3" s="75" t="s">
        <v>349</v>
      </c>
      <c r="B3" s="107" t="s">
        <v>1</v>
      </c>
      <c r="C3" s="109"/>
      <c r="D3" s="110"/>
      <c r="E3" s="110"/>
      <c r="F3" s="110"/>
      <c r="G3" s="110"/>
      <c r="H3" s="110"/>
      <c r="I3" s="110"/>
    </row>
    <row r="4" spans="1:9" s="115" customFormat="1" ht="63" x14ac:dyDescent="0.25">
      <c r="A4" s="106" t="s">
        <v>353</v>
      </c>
      <c r="B4" s="112">
        <v>3691.8</v>
      </c>
      <c r="C4" s="113">
        <f>165.2+698.51+487.45+271.5+249+105+100.44+374.01+99.29+403.48+162.52+4141+11138.52+248.4+1975.91+100+1156.15+919.82+323.23+179.81</f>
        <v>23299.24</v>
      </c>
      <c r="D4" s="114">
        <f>1911.72+970+1314.3</f>
        <v>4196.0200000000004</v>
      </c>
      <c r="E4" s="114">
        <f>289.68+39+406+121.62-5.01</f>
        <v>851.29000000000008</v>
      </c>
      <c r="F4" s="114">
        <f>601.68</f>
        <v>601.67999999999995</v>
      </c>
      <c r="G4" s="114">
        <f>622.5+345.28+795.08</f>
        <v>1762.8600000000001</v>
      </c>
      <c r="H4" s="114">
        <f>72+2173.8+366</f>
        <v>2611.8000000000002</v>
      </c>
      <c r="I4" s="114">
        <f>298.64+311+305.4+371</f>
        <v>1286.04</v>
      </c>
    </row>
    <row r="5" spans="1:9" s="111" customFormat="1" ht="15.75" x14ac:dyDescent="0.25">
      <c r="A5" s="116" t="s">
        <v>350</v>
      </c>
      <c r="B5" s="112">
        <v>607.54999999999995</v>
      </c>
      <c r="C5" s="109"/>
      <c r="D5" s="110">
        <f>10211.54+2455.14</f>
        <v>12666.68</v>
      </c>
      <c r="E5" s="110">
        <v>3249.3</v>
      </c>
      <c r="F5" s="110"/>
      <c r="G5" s="110"/>
      <c r="H5" s="110"/>
      <c r="I5" s="110"/>
    </row>
    <row r="6" spans="1:9" s="111" customFormat="1" ht="15.75" x14ac:dyDescent="0.25">
      <c r="A6" s="116" t="s">
        <v>351</v>
      </c>
      <c r="B6" s="112">
        <v>5400</v>
      </c>
      <c r="C6" s="109"/>
      <c r="D6" s="110"/>
      <c r="E6" s="110"/>
      <c r="F6" s="110"/>
      <c r="G6" s="110">
        <v>1451</v>
      </c>
      <c r="H6" s="110"/>
      <c r="I6" s="110"/>
    </row>
    <row r="7" spans="1:9" s="111" customFormat="1" ht="15.75" x14ac:dyDescent="0.25">
      <c r="A7" s="116" t="s">
        <v>354</v>
      </c>
      <c r="B7" s="112">
        <v>2585</v>
      </c>
      <c r="C7" s="109"/>
      <c r="D7" s="110"/>
      <c r="E7" s="110"/>
      <c r="F7" s="110"/>
      <c r="G7" s="110"/>
      <c r="H7" s="110"/>
      <c r="I7" s="110"/>
    </row>
    <row r="8" spans="1:9" s="120" customFormat="1" ht="15.75" x14ac:dyDescent="0.25">
      <c r="A8" s="116" t="s">
        <v>352</v>
      </c>
      <c r="B8" s="117">
        <v>2713.26</v>
      </c>
      <c r="C8" s="118"/>
      <c r="D8" s="119">
        <v>16192.36</v>
      </c>
      <c r="E8" s="119">
        <v>3118.08</v>
      </c>
      <c r="F8" s="119"/>
      <c r="G8" s="119"/>
      <c r="H8" s="119"/>
      <c r="I8" s="119"/>
    </row>
    <row r="9" spans="1:9" s="111" customFormat="1" ht="15.75" x14ac:dyDescent="0.25">
      <c r="A9" s="116" t="s">
        <v>355</v>
      </c>
      <c r="B9" s="112">
        <v>2551</v>
      </c>
      <c r="C9" s="109"/>
      <c r="D9" s="110">
        <f>3081+7022.89+3162.42</f>
        <v>13266.31</v>
      </c>
      <c r="E9" s="110"/>
      <c r="F9" s="110"/>
      <c r="G9" s="110"/>
      <c r="H9" s="110"/>
      <c r="I9" s="110"/>
    </row>
    <row r="10" spans="1:9" s="111" customFormat="1" ht="15.75" x14ac:dyDescent="0.25">
      <c r="A10" s="116" t="s">
        <v>356</v>
      </c>
      <c r="B10" s="112">
        <v>287</v>
      </c>
      <c r="C10" s="109"/>
      <c r="D10" s="110">
        <v>2562</v>
      </c>
      <c r="E10" s="110">
        <v>570.96</v>
      </c>
      <c r="F10" s="110"/>
      <c r="G10" s="110"/>
      <c r="H10" s="110"/>
      <c r="I10" s="110"/>
    </row>
    <row r="11" spans="1:9" s="111" customFormat="1" ht="15.75" x14ac:dyDescent="0.25">
      <c r="A11" s="116" t="s">
        <v>357</v>
      </c>
      <c r="B11" s="112">
        <v>120</v>
      </c>
      <c r="C11" s="109"/>
      <c r="D11" s="110">
        <f>731.58+2800.04</f>
        <v>3531.62</v>
      </c>
      <c r="E11" s="110"/>
      <c r="F11" s="110"/>
      <c r="G11" s="110"/>
      <c r="H11" s="110"/>
      <c r="I11" s="110"/>
    </row>
    <row r="12" spans="1:9" s="123" customFormat="1" ht="15.75" x14ac:dyDescent="0.25">
      <c r="A12" s="116" t="s">
        <v>358</v>
      </c>
      <c r="B12" s="117">
        <v>5523.96</v>
      </c>
      <c r="C12" s="121"/>
      <c r="D12" s="122">
        <v>5000</v>
      </c>
      <c r="E12" s="122"/>
      <c r="F12" s="122"/>
      <c r="G12" s="122"/>
      <c r="H12" s="122"/>
      <c r="I12" s="122"/>
    </row>
    <row r="13" spans="1:9" s="123" customFormat="1" ht="15.75" x14ac:dyDescent="0.25">
      <c r="A13" s="116" t="s">
        <v>322</v>
      </c>
      <c r="B13" s="117">
        <v>2220</v>
      </c>
      <c r="C13" s="121"/>
      <c r="D13" s="122"/>
      <c r="E13" s="122">
        <v>800.98</v>
      </c>
      <c r="F13" s="122"/>
      <c r="G13" s="122"/>
      <c r="H13" s="122"/>
      <c r="I13" s="122"/>
    </row>
    <row r="14" spans="1:9" s="111" customFormat="1" ht="15.75" x14ac:dyDescent="0.25">
      <c r="A14" s="116" t="s">
        <v>359</v>
      </c>
      <c r="B14" s="112">
        <v>2624.16</v>
      </c>
      <c r="C14" s="109"/>
      <c r="D14" s="110">
        <v>3051.72</v>
      </c>
      <c r="E14" s="110"/>
      <c r="F14" s="110"/>
      <c r="G14" s="110"/>
      <c r="H14" s="110"/>
      <c r="I14" s="110"/>
    </row>
    <row r="15" spans="1:9" s="115" customFormat="1" ht="15.75" x14ac:dyDescent="0.25">
      <c r="A15" s="106" t="s">
        <v>361</v>
      </c>
      <c r="B15" s="112">
        <v>6369</v>
      </c>
      <c r="C15" s="113">
        <v>768.79</v>
      </c>
      <c r="D15" s="114"/>
      <c r="E15" s="114"/>
      <c r="F15" s="114"/>
      <c r="G15" s="114"/>
      <c r="H15" s="114"/>
      <c r="I15" s="114"/>
    </row>
    <row r="16" spans="1:9" s="115" customFormat="1" ht="15.75" x14ac:dyDescent="0.25">
      <c r="A16" s="106" t="s">
        <v>362</v>
      </c>
      <c r="B16" s="112"/>
      <c r="C16" s="113"/>
      <c r="D16" s="114"/>
      <c r="E16" s="114"/>
      <c r="F16" s="114"/>
      <c r="G16" s="114"/>
      <c r="H16" s="114"/>
      <c r="I16" s="114"/>
    </row>
    <row r="17" spans="1:9" s="115" customFormat="1" ht="15.75" x14ac:dyDescent="0.25">
      <c r="A17" s="106" t="s">
        <v>363</v>
      </c>
      <c r="B17" s="112"/>
      <c r="C17" s="113"/>
      <c r="D17" s="114"/>
      <c r="E17" s="114"/>
      <c r="F17" s="114"/>
      <c r="G17" s="114"/>
      <c r="H17" s="114"/>
      <c r="I17" s="114"/>
    </row>
    <row r="18" spans="1:9" s="111" customFormat="1" ht="18.75" x14ac:dyDescent="0.3">
      <c r="A18" s="105" t="s">
        <v>365</v>
      </c>
      <c r="B18" s="112"/>
      <c r="C18" s="109"/>
      <c r="D18" s="110">
        <v>10676.4</v>
      </c>
      <c r="E18" s="110"/>
      <c r="F18" s="110"/>
      <c r="G18" s="110"/>
      <c r="H18" s="110"/>
      <c r="I18" s="110"/>
    </row>
    <row r="19" spans="1:9" s="111" customFormat="1" ht="15.75" x14ac:dyDescent="0.25">
      <c r="A19" s="116" t="s">
        <v>360</v>
      </c>
      <c r="B19" s="112">
        <v>6144</v>
      </c>
      <c r="C19" s="109"/>
      <c r="D19" s="110">
        <v>1089</v>
      </c>
      <c r="E19" s="110"/>
      <c r="F19" s="110"/>
      <c r="G19" s="110"/>
      <c r="H19" s="110"/>
      <c r="I19" s="110"/>
    </row>
    <row r="20" spans="1:9" s="111" customFormat="1" ht="15.75" x14ac:dyDescent="0.25">
      <c r="A20" s="116" t="s">
        <v>372</v>
      </c>
      <c r="B20" s="112">
        <v>30507</v>
      </c>
      <c r="C20" s="109"/>
      <c r="D20" s="110"/>
      <c r="E20" s="110"/>
      <c r="F20" s="110"/>
      <c r="G20" s="110"/>
      <c r="H20" s="110"/>
      <c r="I20" s="110"/>
    </row>
    <row r="21" spans="1:9" s="111" customFormat="1" ht="18.75" x14ac:dyDescent="0.3">
      <c r="A21" s="105" t="s">
        <v>367</v>
      </c>
      <c r="B21" s="112"/>
      <c r="C21" s="109"/>
      <c r="D21" s="110"/>
      <c r="E21" s="110">
        <v>1107</v>
      </c>
      <c r="F21" s="110"/>
      <c r="G21" s="110"/>
      <c r="H21" s="110"/>
      <c r="I21" s="110"/>
    </row>
    <row r="22" spans="1:9" s="115" customFormat="1" ht="15.75" x14ac:dyDescent="0.25">
      <c r="A22" s="106" t="s">
        <v>364</v>
      </c>
      <c r="B22" s="124">
        <v>300</v>
      </c>
      <c r="C22" s="113"/>
      <c r="D22" s="114">
        <v>21030</v>
      </c>
      <c r="E22" s="114"/>
      <c r="F22" s="114">
        <v>21030</v>
      </c>
      <c r="G22" s="114"/>
      <c r="H22" s="114"/>
      <c r="I22" s="114"/>
    </row>
    <row r="23" spans="1:9" s="111" customFormat="1" ht="15.75" x14ac:dyDescent="0.25">
      <c r="A23" s="116" t="s">
        <v>376</v>
      </c>
      <c r="B23" s="112">
        <v>4000</v>
      </c>
      <c r="C23" s="109"/>
      <c r="D23" s="110">
        <v>15000</v>
      </c>
      <c r="E23" s="110"/>
      <c r="F23" s="110"/>
      <c r="G23" s="110"/>
      <c r="H23" s="110"/>
      <c r="I23" s="110"/>
    </row>
    <row r="24" spans="1:9" s="111" customFormat="1" ht="15.75" x14ac:dyDescent="0.25">
      <c r="A24" s="116" t="s">
        <v>377</v>
      </c>
      <c r="B24" s="112">
        <v>400</v>
      </c>
      <c r="C24" s="109"/>
      <c r="D24" s="110"/>
      <c r="E24" s="110">
        <v>1800</v>
      </c>
      <c r="F24" s="110"/>
      <c r="G24" s="110"/>
      <c r="H24" s="110"/>
      <c r="I24" s="110">
        <f>172.8+1380.8</f>
        <v>1553.6</v>
      </c>
    </row>
    <row r="25" spans="1:9" s="111" customFormat="1" ht="15.75" x14ac:dyDescent="0.25">
      <c r="A25" s="116" t="s">
        <v>366</v>
      </c>
      <c r="B25" s="112">
        <v>1176</v>
      </c>
      <c r="C25" s="109"/>
      <c r="D25" s="110">
        <f>1190.54+11871.72</f>
        <v>13062.259999999998</v>
      </c>
      <c r="E25" s="110"/>
      <c r="F25" s="110"/>
      <c r="G25" s="110"/>
      <c r="H25" s="110"/>
      <c r="I25" s="110"/>
    </row>
    <row r="26" spans="1:9" s="115" customFormat="1" ht="15.75" x14ac:dyDescent="0.25">
      <c r="A26" s="106" t="s">
        <v>368</v>
      </c>
      <c r="B26" s="112">
        <v>700</v>
      </c>
      <c r="C26" s="125">
        <f>3288.02+126</f>
        <v>3414.02</v>
      </c>
      <c r="D26" s="114"/>
      <c r="E26" s="114"/>
      <c r="F26" s="114"/>
      <c r="G26" s="114"/>
      <c r="H26" s="114"/>
      <c r="I26" s="114"/>
    </row>
    <row r="27" spans="1:9" s="128" customFormat="1" ht="15.75" x14ac:dyDescent="0.25">
      <c r="A27" s="106" t="s">
        <v>369</v>
      </c>
      <c r="B27" s="117">
        <v>1660</v>
      </c>
      <c r="C27" s="126">
        <f>1800</f>
        <v>1800</v>
      </c>
      <c r="D27" s="127"/>
      <c r="E27" s="127"/>
      <c r="F27" s="127"/>
      <c r="G27" s="127"/>
      <c r="H27" s="127"/>
      <c r="I27" s="127"/>
    </row>
    <row r="28" spans="1:9" s="111" customFormat="1" ht="15.75" x14ac:dyDescent="0.25">
      <c r="A28" s="116" t="s">
        <v>17</v>
      </c>
      <c r="B28" s="112">
        <v>1920</v>
      </c>
      <c r="C28" s="109"/>
      <c r="D28" s="110"/>
      <c r="E28" s="110">
        <v>1820.2</v>
      </c>
      <c r="F28" s="110"/>
      <c r="G28" s="110"/>
      <c r="H28" s="110"/>
      <c r="I28" s="110"/>
    </row>
    <row r="29" spans="1:9" s="111" customFormat="1" ht="15.75" x14ac:dyDescent="0.25">
      <c r="A29" s="116" t="s">
        <v>370</v>
      </c>
      <c r="B29" s="112">
        <v>60</v>
      </c>
      <c r="C29" s="109"/>
      <c r="D29" s="110"/>
      <c r="E29" s="110"/>
      <c r="F29" s="110"/>
      <c r="G29" s="110">
        <v>6600</v>
      </c>
      <c r="H29" s="110"/>
      <c r="I29" s="110"/>
    </row>
    <row r="30" spans="1:9" s="111" customFormat="1" ht="15.75" x14ac:dyDescent="0.25">
      <c r="A30" s="116" t="s">
        <v>371</v>
      </c>
      <c r="B30" s="112">
        <v>1225</v>
      </c>
      <c r="C30" s="109"/>
      <c r="D30" s="110"/>
      <c r="E30" s="110">
        <v>490.2</v>
      </c>
      <c r="F30" s="110"/>
      <c r="G30" s="110"/>
      <c r="H30" s="110"/>
      <c r="I30" s="110"/>
    </row>
    <row r="31" spans="1:9" s="111" customFormat="1" ht="15.75" x14ac:dyDescent="0.25">
      <c r="A31" s="116" t="s">
        <v>373</v>
      </c>
      <c r="B31" s="112">
        <v>38120</v>
      </c>
      <c r="C31" s="109"/>
      <c r="D31" s="110"/>
      <c r="E31" s="110"/>
      <c r="F31" s="110">
        <v>2285</v>
      </c>
      <c r="G31" s="110"/>
      <c r="H31" s="110"/>
      <c r="I31" s="110"/>
    </row>
    <row r="32" spans="1:9" s="111" customFormat="1" ht="15.75" x14ac:dyDescent="0.25">
      <c r="A32" s="116" t="s">
        <v>374</v>
      </c>
      <c r="B32" s="112">
        <v>1735.17</v>
      </c>
      <c r="C32" s="109"/>
      <c r="D32" s="110"/>
      <c r="E32" s="110"/>
      <c r="F32" s="110"/>
      <c r="G32" s="110"/>
      <c r="H32" s="110">
        <v>973.2</v>
      </c>
      <c r="I32" s="110"/>
    </row>
    <row r="33" spans="1:9" s="111" customFormat="1" ht="15.75" x14ac:dyDescent="0.25">
      <c r="A33" s="116" t="s">
        <v>375</v>
      </c>
      <c r="B33" s="112">
        <v>2000</v>
      </c>
      <c r="C33" s="109"/>
      <c r="D33" s="110"/>
      <c r="E33" s="110"/>
      <c r="F33" s="110"/>
      <c r="G33" s="110"/>
      <c r="H33" s="110"/>
      <c r="I33" s="110">
        <v>420</v>
      </c>
    </row>
    <row r="34" spans="1:9" s="111" customFormat="1" ht="15.75" x14ac:dyDescent="0.25">
      <c r="A34" s="116" t="s">
        <v>378</v>
      </c>
      <c r="B34" s="112">
        <v>2445</v>
      </c>
      <c r="C34" s="109"/>
      <c r="D34" s="110">
        <v>37986</v>
      </c>
      <c r="E34" s="110"/>
      <c r="F34" s="110"/>
      <c r="G34" s="110"/>
      <c r="H34" s="110"/>
      <c r="I34" s="110"/>
    </row>
    <row r="35" spans="1:9" s="111" customFormat="1" ht="16.5" hidden="1" thickBot="1" x14ac:dyDescent="0.3">
      <c r="A35" s="129"/>
      <c r="B35" s="130"/>
      <c r="C35" s="131"/>
      <c r="D35" s="129"/>
      <c r="E35" s="129"/>
      <c r="F35" s="129"/>
      <c r="G35" s="129"/>
      <c r="H35" s="129"/>
      <c r="I35" s="129"/>
    </row>
    <row r="36" spans="1:9" s="111" customFormat="1" ht="16.5" hidden="1" thickBot="1" x14ac:dyDescent="0.3">
      <c r="A36" s="129"/>
      <c r="B36" s="130"/>
      <c r="C36" s="131"/>
      <c r="D36" s="129"/>
      <c r="E36" s="129"/>
      <c r="F36" s="129"/>
      <c r="G36" s="129"/>
      <c r="H36" s="129"/>
      <c r="I36" s="129"/>
    </row>
    <row r="37" spans="1:9" s="111" customFormat="1" ht="16.5" hidden="1" thickBot="1" x14ac:dyDescent="0.3">
      <c r="A37" s="129"/>
      <c r="B37" s="130"/>
      <c r="C37" s="131"/>
      <c r="D37" s="129"/>
      <c r="E37" s="129"/>
      <c r="F37" s="129"/>
      <c r="G37" s="129"/>
      <c r="H37" s="129"/>
      <c r="I37" s="129"/>
    </row>
    <row r="38" spans="1:9" s="111" customFormat="1" ht="16.5" hidden="1" thickBot="1" x14ac:dyDescent="0.3">
      <c r="A38" s="129"/>
      <c r="B38" s="130"/>
      <c r="C38" s="131"/>
      <c r="D38" s="129"/>
      <c r="E38" s="129"/>
      <c r="F38" s="129"/>
      <c r="G38" s="129"/>
      <c r="H38" s="129"/>
      <c r="I38" s="129"/>
    </row>
    <row r="39" spans="1:9" s="111" customFormat="1" ht="16.5" hidden="1" thickBot="1" x14ac:dyDescent="0.3">
      <c r="A39" s="129"/>
      <c r="B39" s="130"/>
      <c r="C39" s="131"/>
      <c r="D39" s="129"/>
      <c r="E39" s="129"/>
      <c r="F39" s="129"/>
      <c r="G39" s="129"/>
      <c r="H39" s="129"/>
      <c r="I39" s="129"/>
    </row>
    <row r="40" spans="1:9" s="111" customFormat="1" ht="16.5" hidden="1" thickBot="1" x14ac:dyDescent="0.3">
      <c r="A40" s="129"/>
      <c r="B40" s="130">
        <f t="shared" ref="B40" si="0">SUM(D40:G40)</f>
        <v>0</v>
      </c>
      <c r="C40" s="131"/>
      <c r="D40" s="129"/>
      <c r="E40" s="129"/>
      <c r="F40" s="129"/>
      <c r="G40" s="129"/>
      <c r="H40" s="129"/>
      <c r="I40" s="129"/>
    </row>
    <row r="41" spans="1:9" s="134" customFormat="1" ht="18.75" x14ac:dyDescent="0.3">
      <c r="A41" s="75" t="s">
        <v>379</v>
      </c>
      <c r="B41" s="130"/>
      <c r="C41" s="132"/>
      <c r="D41" s="133"/>
      <c r="E41" s="133"/>
      <c r="F41" s="133"/>
      <c r="G41" s="133"/>
      <c r="H41" s="133"/>
      <c r="I41" s="133"/>
    </row>
    <row r="42" spans="1:9" s="134" customFormat="1" ht="15.75" x14ac:dyDescent="0.25">
      <c r="A42" s="135" t="s">
        <v>380</v>
      </c>
      <c r="B42" s="130">
        <v>2600</v>
      </c>
      <c r="C42" s="132"/>
      <c r="D42" s="133"/>
      <c r="E42" s="133"/>
      <c r="F42" s="133"/>
      <c r="G42" s="133"/>
      <c r="H42" s="133"/>
      <c r="I42" s="133"/>
    </row>
    <row r="43" spans="1:9" s="134" customFormat="1" ht="15.75" x14ac:dyDescent="0.25">
      <c r="A43" s="135" t="s">
        <v>228</v>
      </c>
      <c r="B43" s="130">
        <v>5230</v>
      </c>
      <c r="C43" s="132"/>
      <c r="D43" s="133"/>
      <c r="E43" s="133"/>
      <c r="F43" s="133"/>
      <c r="G43" s="133"/>
      <c r="H43" s="133"/>
      <c r="I43" s="133"/>
    </row>
    <row r="44" spans="1:9" s="134" customFormat="1" ht="18.75" x14ac:dyDescent="0.3">
      <c r="A44" s="75" t="s">
        <v>394</v>
      </c>
      <c r="B44" s="136"/>
      <c r="C44" s="132"/>
      <c r="D44" s="133"/>
      <c r="E44" s="133"/>
      <c r="F44" s="133"/>
      <c r="G44" s="133"/>
      <c r="H44" s="133"/>
      <c r="I44" s="133"/>
    </row>
    <row r="45" spans="1:9" s="140" customFormat="1" ht="15.75" x14ac:dyDescent="0.25">
      <c r="A45" s="137" t="s">
        <v>381</v>
      </c>
      <c r="B45" s="136">
        <v>1536.01</v>
      </c>
      <c r="C45" s="138"/>
      <c r="D45" s="139"/>
      <c r="E45" s="139"/>
      <c r="F45" s="139"/>
      <c r="G45" s="139"/>
      <c r="H45" s="139"/>
      <c r="I45" s="139"/>
    </row>
    <row r="46" spans="1:9" s="140" customFormat="1" ht="15.75" x14ac:dyDescent="0.25">
      <c r="A46" s="137" t="s">
        <v>382</v>
      </c>
      <c r="B46" s="136">
        <v>3545.13</v>
      </c>
      <c r="C46" s="138"/>
      <c r="D46" s="139"/>
      <c r="E46" s="139"/>
      <c r="F46" s="139"/>
      <c r="G46" s="139"/>
      <c r="H46" s="139"/>
      <c r="I46" s="139"/>
    </row>
    <row r="47" spans="1:9" s="140" customFormat="1" ht="15.75" x14ac:dyDescent="0.25">
      <c r="A47" s="137" t="s">
        <v>383</v>
      </c>
      <c r="B47" s="136">
        <v>1468.8</v>
      </c>
      <c r="C47" s="138"/>
      <c r="D47" s="139"/>
      <c r="E47" s="139"/>
      <c r="F47" s="139"/>
      <c r="G47" s="139"/>
      <c r="H47" s="139"/>
      <c r="I47" s="139"/>
    </row>
    <row r="48" spans="1:9" s="140" customFormat="1" ht="15.75" x14ac:dyDescent="0.25">
      <c r="A48" s="137" t="s">
        <v>392</v>
      </c>
      <c r="B48" s="136">
        <v>3007.41</v>
      </c>
      <c r="C48" s="138"/>
      <c r="D48" s="139"/>
      <c r="E48" s="139"/>
      <c r="F48" s="139"/>
      <c r="G48" s="139"/>
      <c r="H48" s="139"/>
      <c r="I48" s="139"/>
    </row>
    <row r="49" spans="1:9" s="111" customFormat="1" ht="16.5" thickBot="1" x14ac:dyDescent="0.3">
      <c r="A49" s="135" t="s">
        <v>393</v>
      </c>
      <c r="B49" s="136">
        <v>35263.14</v>
      </c>
    </row>
    <row r="50" spans="1:9" s="111" customFormat="1" ht="16.5" thickBot="1" x14ac:dyDescent="0.3">
      <c r="A50" s="141" t="s">
        <v>390</v>
      </c>
      <c r="B50" s="142">
        <f>SUM(B4:B49)</f>
        <v>179735.39</v>
      </c>
      <c r="C50" s="143">
        <f t="shared" ref="C50:I50" si="1">SUM(C3:C40)</f>
        <v>29282.050000000003</v>
      </c>
      <c r="D50" s="144">
        <f t="shared" si="1"/>
        <v>159310.37</v>
      </c>
      <c r="E50" s="144">
        <f t="shared" si="1"/>
        <v>13808.010000000002</v>
      </c>
      <c r="F50" s="144">
        <f t="shared" si="1"/>
        <v>23916.68</v>
      </c>
      <c r="G50" s="144">
        <f t="shared" si="1"/>
        <v>9813.86</v>
      </c>
      <c r="H50" s="144">
        <f t="shared" si="1"/>
        <v>3585</v>
      </c>
      <c r="I50" s="144">
        <f t="shared" si="1"/>
        <v>3259.64</v>
      </c>
    </row>
    <row r="51" spans="1:9" s="111" customFormat="1" ht="56.25" customHeight="1" x14ac:dyDescent="0.3">
      <c r="A51" s="154" t="s">
        <v>395</v>
      </c>
      <c r="B51" s="154"/>
    </row>
    <row r="52" spans="1:9" s="111" customFormat="1" ht="37.5" customHeight="1" x14ac:dyDescent="0.25">
      <c r="A52" s="151" t="s">
        <v>348</v>
      </c>
      <c r="B52" s="151"/>
    </row>
    <row r="53" spans="1:9" s="111" customFormat="1" ht="20.25" customHeight="1" x14ac:dyDescent="0.35">
      <c r="A53" s="153" t="s">
        <v>384</v>
      </c>
      <c r="B53" s="153"/>
    </row>
    <row r="54" spans="1:9" s="111" customFormat="1" ht="15.75" x14ac:dyDescent="0.25">
      <c r="A54" s="145" t="s">
        <v>386</v>
      </c>
      <c r="B54" s="108" t="s">
        <v>385</v>
      </c>
    </row>
    <row r="55" spans="1:9" s="111" customFormat="1" ht="15.75" x14ac:dyDescent="0.25">
      <c r="A55" s="135" t="s">
        <v>387</v>
      </c>
      <c r="B55" s="136">
        <v>14521</v>
      </c>
    </row>
    <row r="56" spans="1:9" s="111" customFormat="1" ht="15.75" x14ac:dyDescent="0.25">
      <c r="A56" s="135" t="s">
        <v>388</v>
      </c>
      <c r="B56" s="136">
        <v>10215</v>
      </c>
    </row>
    <row r="57" spans="1:9" s="111" customFormat="1" ht="15.75" x14ac:dyDescent="0.25">
      <c r="A57" s="135" t="s">
        <v>389</v>
      </c>
      <c r="B57" s="136">
        <v>2129</v>
      </c>
    </row>
    <row r="58" spans="1:9" s="111" customFormat="1" ht="15.75" x14ac:dyDescent="0.25">
      <c r="A58" s="141" t="s">
        <v>390</v>
      </c>
      <c r="B58" s="146">
        <f>SUM(B55:B57)</f>
        <v>26865</v>
      </c>
    </row>
    <row r="59" spans="1:9" s="111" customFormat="1" ht="15.75" x14ac:dyDescent="0.25">
      <c r="A59" s="147" t="s">
        <v>391</v>
      </c>
      <c r="B59" s="146">
        <v>206600.39</v>
      </c>
    </row>
  </sheetData>
  <mergeCells count="5">
    <mergeCell ref="A2:B2"/>
    <mergeCell ref="A52:B52"/>
    <mergeCell ref="A53:B53"/>
    <mergeCell ref="A1:B1"/>
    <mergeCell ref="A51:B51"/>
  </mergeCells>
  <pageMargins left="0.28999999999999998" right="0.25" top="0.1" bottom="0.08" header="0.12" footer="0.0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витрати 01.01.2016-30.06.2017</vt:lpstr>
      <vt:lpstr>Благодійна допомога</vt:lpstr>
      <vt:lpstr>витрати 01.07.2016-31.10.17</vt:lpstr>
      <vt:lpstr>адмін витрати</vt:lpstr>
      <vt:lpstr>Господарчі витр.</vt:lpstr>
      <vt:lpstr>Лист2</vt:lpstr>
      <vt:lpstr>Лист3</vt:lpstr>
      <vt:lpstr>Лист4</vt:lpstr>
      <vt:lpstr>БФ 2018</vt:lpstr>
      <vt:lpstr>БМР мат. комп.</vt:lpstr>
      <vt:lpstr>БФ 2017 разом</vt:lpstr>
      <vt:lpstr>ГВ 2</vt:lpstr>
      <vt:lpstr>Наповн. ігрових зон</vt:lpstr>
      <vt:lpstr>Дидакт. розв. забезп.</vt:lpstr>
      <vt:lpstr>Розважальні заходи</vt:lpstr>
      <vt:lpstr>ВИТРАТИ на 2017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Пользователь Windows</cp:lastModifiedBy>
  <cp:lastPrinted>2018-06-18T09:39:31Z</cp:lastPrinted>
  <dcterms:created xsi:type="dcterms:W3CDTF">2017-07-27T12:58:27Z</dcterms:created>
  <dcterms:modified xsi:type="dcterms:W3CDTF">2018-06-18T09:42:54Z</dcterms:modified>
</cp:coreProperties>
</file>